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hdbonline-my.sharepoint.com/personal/emily_braggins_ahdb_org_uk/Documents/Desktop/"/>
    </mc:Choice>
  </mc:AlternateContent>
  <xr:revisionPtr revIDLastSave="0" documentId="8_{8A00B0B5-7C8D-4E1B-AF11-654CEBD10D77}" xr6:coauthVersionLast="47" xr6:coauthVersionMax="47" xr10:uidLastSave="{00000000-0000-0000-0000-000000000000}"/>
  <workbookProtection workbookAlgorithmName="SHA-512" workbookHashValue="oh4oqT6jUPwlQhUv1hd0jFA1t5NcnCMU6a/tWYBykxWj8hef18ouwuqYJjGDxN7/GVTKI6Tm2BlzOnvlyxErog==" workbookSaltValue="gRLFvhmgPnD1eiFtv4xrow==" workbookSpinCount="100000" lockStructure="1"/>
  <bookViews>
    <workbookView xWindow="-110" yWindow="-110" windowWidth="19420" windowHeight="11500" tabRatio="803" firstSheet="16" activeTab="16" xr2:uid="{00000000-000D-0000-FFFF-FFFF00000000}"/>
  </bookViews>
  <sheets>
    <sheet name="Glossary" sheetId="32" r:id="rId1"/>
    <sheet name="EPRGDIP" sheetId="10" r:id="rId2"/>
    <sheet name="EPRGTET" sheetId="30" r:id="rId3"/>
    <sheet name=" IPRGDIP" sheetId="11" r:id="rId4"/>
    <sheet name="IPRGTET" sheetId="24" r:id="rId5"/>
    <sheet name=" LPRGDIP" sheetId="21" r:id="rId6"/>
    <sheet name="LPRGTET" sheetId="25" r:id="rId7"/>
    <sheet name="IRGDIP" sheetId="13" r:id="rId8"/>
    <sheet name="IRGTET" sheetId="22" r:id="rId9"/>
    <sheet name="HRGDIP" sheetId="12" r:id="rId10"/>
    <sheet name="HRGTET" sheetId="28" r:id="rId11"/>
    <sheet name="TIM" sheetId="19" r:id="rId12"/>
    <sheet name="WC" sheetId="14" r:id="rId13"/>
    <sheet name="RCDIP" sheetId="16" r:id="rId14"/>
    <sheet name="RCTET" sheetId="29" r:id="rId15"/>
    <sheet name="LUC" sheetId="18" r:id="rId16"/>
    <sheet name="CFT" sheetId="17" r:id="rId17"/>
  </sheets>
  <externalReferences>
    <externalReference r:id="rId18"/>
    <externalReference r:id="rId19"/>
  </externalReferences>
  <definedNames>
    <definedName name="JobRun1">[1]M1P1!$A$1</definedName>
    <definedName name="M2Largest_LSD_mean">[2]M2P1!$I$63</definedName>
    <definedName name="_xlnm.Print_Area" localSheetId="3">' IPRGDIP'!$A$1:$T$49</definedName>
    <definedName name="_xlnm.Print_Area" localSheetId="5">' LPRGDIP'!$A$1:$AJ$49</definedName>
    <definedName name="_xlnm.Print_Area" localSheetId="1">EPRGDIP!$A$1:$G$50</definedName>
    <definedName name="_xlnm.Print_Area" localSheetId="9">HRGDIP!$A$1:$J$43</definedName>
    <definedName name="_xlnm.Print_Area" localSheetId="4">IPRGTET!$A$1:$S$48</definedName>
    <definedName name="_xlnm.Print_Area" localSheetId="7">IRGDIP!$A$1:$O$40</definedName>
    <definedName name="_xlnm.Print_Area" localSheetId="8">IRGTET!$A$1:$M$42</definedName>
    <definedName name="_xlnm.Print_Area" localSheetId="6">LPRGTET!$A$1:$N$49</definedName>
    <definedName name="_xlnm.Print_Area" localSheetId="15">LUC!$A$1:$J$22</definedName>
    <definedName name="_xlnm.Print_Area" localSheetId="11">TIM!$A$1:$M$44</definedName>
    <definedName name="_xlnm.Print_Area" localSheetId="12">WC!$A$1:$U$41</definedName>
    <definedName name="_xlnm.Print_Titles" localSheetId="7">IRGDIP!$A:$B</definedName>
    <definedName name="_xlnm.Print_Titles" localSheetId="12">WC!$A:$A</definedName>
    <definedName name="SubTitle1">[1]M1P1!$A$4</definedName>
    <definedName name="Title1">[1]M1P1!$A$2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0" l="1"/>
  <c r="E27" i="30"/>
  <c r="D27" i="30"/>
  <c r="C27" i="30"/>
  <c r="B27" i="30"/>
  <c r="F25" i="30"/>
  <c r="E25" i="30"/>
  <c r="D25" i="30"/>
  <c r="C25" i="30"/>
  <c r="B25" i="30"/>
  <c r="F8" i="30"/>
  <c r="E8" i="30"/>
  <c r="D8" i="30"/>
  <c r="C8" i="30"/>
  <c r="B8" i="30"/>
  <c r="R17" i="28"/>
  <c r="Q17" i="28"/>
  <c r="P17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R15" i="28"/>
  <c r="Q15" i="28"/>
  <c r="P15" i="28"/>
  <c r="O15" i="28"/>
  <c r="N15" i="28"/>
  <c r="M15" i="28"/>
  <c r="L15" i="28"/>
  <c r="K15" i="28"/>
  <c r="J15" i="28"/>
  <c r="I15" i="28"/>
  <c r="H15" i="28"/>
  <c r="G15" i="28"/>
  <c r="F15" i="28"/>
  <c r="E15" i="28"/>
  <c r="D15" i="28"/>
  <c r="C15" i="28"/>
  <c r="B15" i="28"/>
  <c r="C17" i="22"/>
  <c r="S27" i="24"/>
  <c r="R27" i="24"/>
  <c r="Q27" i="24"/>
  <c r="P27" i="24"/>
  <c r="O27" i="24"/>
  <c r="N27" i="24"/>
  <c r="M27" i="24"/>
  <c r="L27" i="24"/>
  <c r="K27" i="24"/>
  <c r="J27" i="24"/>
  <c r="I27" i="24"/>
  <c r="H27" i="24"/>
  <c r="G27" i="24"/>
  <c r="F27" i="24"/>
  <c r="E27" i="24"/>
  <c r="D27" i="24"/>
  <c r="C27" i="24"/>
  <c r="B27" i="24"/>
  <c r="N25" i="24"/>
  <c r="M25" i="24"/>
  <c r="L25" i="24"/>
  <c r="K25" i="24"/>
  <c r="J25" i="24"/>
  <c r="I25" i="24"/>
  <c r="H25" i="24"/>
  <c r="G25" i="24"/>
  <c r="F25" i="24"/>
  <c r="E25" i="24"/>
  <c r="D25" i="24"/>
  <c r="C25" i="24"/>
  <c r="B25" i="24"/>
  <c r="O25" i="24"/>
  <c r="P25" i="24"/>
  <c r="Q25" i="24"/>
  <c r="R25" i="24"/>
  <c r="S25" i="24"/>
  <c r="S8" i="24"/>
  <c r="R8" i="24"/>
  <c r="Q8" i="24"/>
  <c r="P8" i="24"/>
  <c r="O8" i="24"/>
  <c r="N8" i="24"/>
  <c r="L8" i="24"/>
  <c r="M8" i="24"/>
  <c r="K8" i="24"/>
  <c r="J8" i="24"/>
  <c r="I8" i="24"/>
  <c r="H8" i="24"/>
  <c r="G8" i="24"/>
  <c r="F8" i="24"/>
  <c r="E8" i="24"/>
  <c r="D8" i="24"/>
  <c r="C8" i="24"/>
  <c r="B8" i="24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H17" i="12"/>
  <c r="G17" i="12"/>
  <c r="F17" i="12"/>
  <c r="E17" i="12"/>
  <c r="D17" i="12"/>
  <c r="B17" i="12"/>
  <c r="H15" i="12"/>
  <c r="G15" i="12"/>
  <c r="F15" i="12"/>
  <c r="E15" i="12"/>
  <c r="D15" i="12"/>
  <c r="B15" i="12"/>
  <c r="M17" i="22"/>
  <c r="L17" i="22"/>
  <c r="K17" i="22"/>
  <c r="J17" i="22"/>
  <c r="I17" i="22"/>
  <c r="H17" i="22"/>
  <c r="G17" i="22"/>
  <c r="F17" i="22"/>
  <c r="E17" i="22"/>
  <c r="D17" i="22"/>
  <c r="B17" i="22"/>
  <c r="M15" i="22"/>
  <c r="L15" i="22"/>
  <c r="K15" i="22"/>
  <c r="J15" i="22"/>
  <c r="I15" i="22"/>
  <c r="H15" i="22"/>
  <c r="G15" i="22"/>
  <c r="F15" i="22"/>
  <c r="E15" i="22"/>
  <c r="D15" i="22"/>
  <c r="C15" i="22"/>
  <c r="B15" i="22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F27" i="10"/>
  <c r="E27" i="10"/>
  <c r="D27" i="10"/>
  <c r="C27" i="10"/>
  <c r="B27" i="10"/>
  <c r="F25" i="10"/>
  <c r="E25" i="10"/>
  <c r="D25" i="10"/>
  <c r="C25" i="10"/>
  <c r="B25" i="10"/>
  <c r="F8" i="10"/>
  <c r="E8" i="10"/>
  <c r="D8" i="10"/>
  <c r="C8" i="10"/>
  <c r="B8" i="10"/>
  <c r="I27" i="19"/>
  <c r="H27" i="19"/>
  <c r="G27" i="19"/>
  <c r="F27" i="19"/>
  <c r="E27" i="19"/>
  <c r="D27" i="19"/>
  <c r="C27" i="19"/>
  <c r="B27" i="19"/>
  <c r="I25" i="19"/>
  <c r="H25" i="19"/>
  <c r="G25" i="19"/>
  <c r="F25" i="19"/>
  <c r="E25" i="19"/>
  <c r="D25" i="19"/>
  <c r="C25" i="19"/>
  <c r="B25" i="19"/>
  <c r="I8" i="19"/>
  <c r="H8" i="19"/>
  <c r="G8" i="19"/>
  <c r="F8" i="19"/>
  <c r="E8" i="19"/>
  <c r="D8" i="19"/>
  <c r="C8" i="19"/>
  <c r="B8" i="19"/>
  <c r="AJ27" i="21"/>
  <c r="AI27" i="21"/>
  <c r="AH27" i="21"/>
  <c r="AG27" i="21"/>
  <c r="AF27" i="21"/>
  <c r="AE27" i="21"/>
  <c r="AD27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B27" i="21"/>
  <c r="AJ25" i="21"/>
  <c r="AI25" i="21"/>
  <c r="AH25" i="21"/>
  <c r="AG25" i="21"/>
  <c r="AF25" i="21"/>
  <c r="AE25" i="21"/>
  <c r="AD25" i="21"/>
  <c r="AC25" i="21"/>
  <c r="AB25" i="21"/>
  <c r="AA25" i="21"/>
  <c r="Z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E21" i="17"/>
  <c r="D21" i="17"/>
  <c r="C21" i="17"/>
  <c r="B21" i="17"/>
  <c r="E19" i="17"/>
  <c r="D19" i="17"/>
  <c r="C19" i="17"/>
  <c r="B19" i="17"/>
  <c r="E6" i="17"/>
  <c r="D6" i="17"/>
  <c r="C6" i="17"/>
  <c r="B6" i="17"/>
  <c r="D25" i="21"/>
  <c r="C25" i="21"/>
  <c r="B25" i="21"/>
  <c r="AJ8" i="21"/>
  <c r="AI8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D8" i="21"/>
  <c r="C8" i="21"/>
  <c r="B8" i="21"/>
  <c r="M8" i="25"/>
  <c r="L8" i="25"/>
  <c r="K8" i="25"/>
  <c r="J8" i="25"/>
  <c r="I8" i="25"/>
  <c r="H8" i="25"/>
  <c r="G8" i="25"/>
  <c r="F8" i="25"/>
  <c r="E8" i="25"/>
  <c r="D8" i="25"/>
  <c r="C8" i="25"/>
  <c r="B8" i="25"/>
  <c r="M27" i="25"/>
  <c r="L27" i="25"/>
  <c r="K27" i="25"/>
  <c r="J27" i="25"/>
  <c r="I27" i="25"/>
  <c r="H27" i="25"/>
  <c r="G27" i="25"/>
  <c r="F27" i="25"/>
  <c r="E27" i="25"/>
  <c r="D27" i="25"/>
  <c r="C27" i="25"/>
  <c r="B27" i="25"/>
  <c r="M25" i="25"/>
  <c r="L25" i="25"/>
  <c r="K25" i="25"/>
  <c r="J25" i="25"/>
  <c r="I25" i="25"/>
  <c r="H25" i="25"/>
  <c r="G25" i="25"/>
  <c r="F25" i="25"/>
  <c r="E25" i="25"/>
  <c r="D25" i="25"/>
  <c r="C25" i="25"/>
  <c r="B25" i="25"/>
</calcChain>
</file>

<file path=xl/sharedStrings.xml><?xml version="1.0" encoding="utf-8"?>
<sst xmlns="http://schemas.openxmlformats.org/spreadsheetml/2006/main" count="1912" uniqueCount="606">
  <si>
    <t>Glossary of terms and abbreviations</t>
  </si>
  <si>
    <t>This glossary defines all abbreviations and technical terms used in this workbook.</t>
  </si>
  <si>
    <t>Abbreviation</t>
  </si>
  <si>
    <t>Full term</t>
  </si>
  <si>
    <t>Description</t>
  </si>
  <si>
    <t>RL STATUS CODES</t>
  </si>
  <si>
    <t>G</t>
  </si>
  <si>
    <t>Fully Recommended</t>
  </si>
  <si>
    <t>Variety fully recommended for use based on comprehensive trial data</t>
  </si>
  <si>
    <t>S</t>
  </si>
  <si>
    <t>Status S</t>
  </si>
  <si>
    <t>Variety with satisfactory performance</t>
  </si>
  <si>
    <t>PG</t>
  </si>
  <si>
    <t>Provisionally Recommended (General)</t>
  </si>
  <si>
    <t>Provisionally recommended for general use</t>
  </si>
  <si>
    <t>PS</t>
  </si>
  <si>
    <t>Provisionally Recommended (Specific)</t>
  </si>
  <si>
    <t>Provisionally recommended for specific use</t>
  </si>
  <si>
    <t>-</t>
  </si>
  <si>
    <t>No Data</t>
  </si>
  <si>
    <t>Data not available or not measured</t>
  </si>
  <si>
    <t>[ ]</t>
  </si>
  <si>
    <t>Limited Data</t>
  </si>
  <si>
    <t>Data only available from two trials - interpret with caution</t>
  </si>
  <si>
    <t>GRASS TYPES</t>
  </si>
  <si>
    <t>PRG</t>
  </si>
  <si>
    <t>Perennial Ryegrass</t>
  </si>
  <si>
    <t>Long-lived grass species for permanent pastures</t>
  </si>
  <si>
    <t>IRG</t>
  </si>
  <si>
    <t>Italian Ryegrass</t>
  </si>
  <si>
    <t>Short-lived, high-yielding ryegrass</t>
  </si>
  <si>
    <t>HRG</t>
  </si>
  <si>
    <t>Hybrid Ryegrass</t>
  </si>
  <si>
    <t>Cross between perennial and Italian ryegrass</t>
  </si>
  <si>
    <t>DIP</t>
  </si>
  <si>
    <t>Diploid</t>
  </si>
  <si>
    <t>Variety with two sets of chromosomes (2n)</t>
  </si>
  <si>
    <t>TET</t>
  </si>
  <si>
    <t>Tetraploid</t>
  </si>
  <si>
    <t>Variety with four sets of chromosomes (4n)</t>
  </si>
  <si>
    <t>MATURITY GROUPS</t>
  </si>
  <si>
    <t>E</t>
  </si>
  <si>
    <t>Early</t>
  </si>
  <si>
    <t>Early heading/maturity varieties</t>
  </si>
  <si>
    <t>I / Int.</t>
  </si>
  <si>
    <t>Intermediate</t>
  </si>
  <si>
    <t>Intermediate heading/maturity varieties</t>
  </si>
  <si>
    <t>L</t>
  </si>
  <si>
    <t>Late</t>
  </si>
  <si>
    <t>Late heading/maturity varieties</t>
  </si>
  <si>
    <t>YIELD &amp; QUALITY METRICS</t>
  </si>
  <si>
    <t>t/ha</t>
  </si>
  <si>
    <t>Tonnes per Hectare</t>
  </si>
  <si>
    <t>Unit of dry matter yield</t>
  </si>
  <si>
    <t>D-value</t>
  </si>
  <si>
    <t>Digestibility Value</t>
  </si>
  <si>
    <t>Measure of forage digestibility (% of dry matter)</t>
  </si>
  <si>
    <t>ME</t>
  </si>
  <si>
    <t>Metabolisable Energy</t>
  </si>
  <si>
    <t>Energy available to livestock from forage</t>
  </si>
  <si>
    <t>MJ/ha</t>
  </si>
  <si>
    <t>Megajoules per Hectare</t>
  </si>
  <si>
    <t>Unit of energy per hectare</t>
  </si>
  <si>
    <t>%</t>
  </si>
  <si>
    <t>Percentage</t>
  </si>
  <si>
    <t>Values shown as percentage of mean of recommended varieties</t>
  </si>
  <si>
    <t>LSD</t>
  </si>
  <si>
    <t>Least Significant Difference</t>
  </si>
  <si>
    <t>Statistical measure for comparing variety differences</t>
  </si>
  <si>
    <t>MANAGEMENT TYPES</t>
  </si>
  <si>
    <t>Grazing</t>
  </si>
  <si>
    <t>Grazing Management</t>
  </si>
  <si>
    <t>Pastures managed primarily for grazing by livestock</t>
  </si>
  <si>
    <t>Conservation</t>
  </si>
  <si>
    <t>Conservation Management</t>
  </si>
  <si>
    <t>Pastures managed primarily for silage/hay</t>
  </si>
  <si>
    <t>SEASONAL PERIODS</t>
  </si>
  <si>
    <t>Early Grazing</t>
  </si>
  <si>
    <t>Early Grazing Period</t>
  </si>
  <si>
    <t>First grazing opportunity in spring</t>
  </si>
  <si>
    <t>Spring</t>
  </si>
  <si>
    <t>Spring Period</t>
  </si>
  <si>
    <t>Main spring growth period</t>
  </si>
  <si>
    <t>Early Summer</t>
  </si>
  <si>
    <t>Early Summer Period</t>
  </si>
  <si>
    <t>Early summer growth period</t>
  </si>
  <si>
    <t>Late Summer</t>
  </si>
  <si>
    <t>Late Summer Period</t>
  </si>
  <si>
    <t>Late summer growth period</t>
  </si>
  <si>
    <t>Autumn</t>
  </si>
  <si>
    <t>Autumn Period</t>
  </si>
  <si>
    <t>Autumn growth period</t>
  </si>
  <si>
    <t>1st Cut</t>
  </si>
  <si>
    <t>First Conservation Cut</t>
  </si>
  <si>
    <t>First silage cut of the season</t>
  </si>
  <si>
    <t>2nd Cut</t>
  </si>
  <si>
    <t>Second Conservation Cut</t>
  </si>
  <si>
    <t>Second silage cut of the season</t>
  </si>
  <si>
    <t>3rd Cut</t>
  </si>
  <si>
    <t>Third Conservation Cut</t>
  </si>
  <si>
    <t>Third silage cut of the season</t>
  </si>
  <si>
    <t>4th+ Cut</t>
  </si>
  <si>
    <t>Fourth and Subsequent Cuts</t>
  </si>
  <si>
    <t>Fourth and any additional cuts</t>
  </si>
  <si>
    <t>AGRONOMIC CHARACTERISTICS</t>
  </si>
  <si>
    <t>Ground Cover %</t>
  </si>
  <si>
    <t>Ground Cover Percentage</t>
  </si>
  <si>
    <t>Percentage of ground covered by the sward</t>
  </si>
  <si>
    <t>Winter Hardiness</t>
  </si>
  <si>
    <t>Winter Hardiness Score</t>
  </si>
  <si>
    <t>Ability to survive winter (1-9 scale, 9 = excellent)</t>
  </si>
  <si>
    <t>Heading Date</t>
  </si>
  <si>
    <t>Date when 50% of plants show emerged seed heads</t>
  </si>
  <si>
    <t>DISEASE RESISTANCE (1-9 SCALE: 1 = poor, 9 = excellent)</t>
  </si>
  <si>
    <t>Crown Rust</t>
  </si>
  <si>
    <t>Crown Rust Resistance</t>
  </si>
  <si>
    <t>Resistance to Puccinia coronata fungal disease</t>
  </si>
  <si>
    <t>Drechslera</t>
  </si>
  <si>
    <t>Drechslera Resistance</t>
  </si>
  <si>
    <t>Resistance to Drechslera leaf spot disease</t>
  </si>
  <si>
    <t>Mildew</t>
  </si>
  <si>
    <t>Mildew Resistance</t>
  </si>
  <si>
    <t>Resistance to powdery mildew disease</t>
  </si>
  <si>
    <t>Brown Rust</t>
  </si>
  <si>
    <t>Brown Rust Resistance</t>
  </si>
  <si>
    <t>Resistance to Puccinia species</t>
  </si>
  <si>
    <t>RMV</t>
  </si>
  <si>
    <t>Ryegrass Mosaic Virus</t>
  </si>
  <si>
    <t>Resistance to viral disease affecting ryegrass</t>
  </si>
  <si>
    <t>OTHER SPECIES</t>
  </si>
  <si>
    <t>TIM</t>
  </si>
  <si>
    <t>Timothy</t>
  </si>
  <si>
    <t>Timothy grass (Phleum pratense)</t>
  </si>
  <si>
    <t>WC</t>
  </si>
  <si>
    <t>White Clover</t>
  </si>
  <si>
    <t>White clover (Trifolium repens)</t>
  </si>
  <si>
    <t>RC</t>
  </si>
  <si>
    <t>Red Clover</t>
  </si>
  <si>
    <t>Red clover (Trifolium pratense)</t>
  </si>
  <si>
    <t>LU</t>
  </si>
  <si>
    <t>Lucerne</t>
  </si>
  <si>
    <t>Lucerne/Alfalfa (Medicago sativa)</t>
  </si>
  <si>
    <t>CFT</t>
  </si>
  <si>
    <t>Cocksfoot</t>
  </si>
  <si>
    <t>Cocksfoot grass (Dactylis glomerata)</t>
  </si>
  <si>
    <t>Festulolium</t>
  </si>
  <si>
    <t>Intergeneric hybrid between Festuca and Lolium species</t>
  </si>
  <si>
    <t>ORGANISATIONS</t>
  </si>
  <si>
    <t>AFBI</t>
  </si>
  <si>
    <t>Agri-Food and Biosciences Institute</t>
  </si>
  <si>
    <t>Northern Ireland agricultural research institute</t>
  </si>
  <si>
    <t>IBERS</t>
  </si>
  <si>
    <t>Institute of Biological, Environmental and Rural Sciences</t>
  </si>
  <si>
    <t>Aberystwyth University research institute</t>
  </si>
  <si>
    <t>Teagasc</t>
  </si>
  <si>
    <t>Irish Agriculture and Food Development Authority</t>
  </si>
  <si>
    <t>DLF</t>
  </si>
  <si>
    <t>DLF Seeds</t>
  </si>
  <si>
    <t>Danish seed breeding company</t>
  </si>
  <si>
    <t>DSV</t>
  </si>
  <si>
    <t>Deutsche Saatveredelung</t>
  </si>
  <si>
    <t>German seed breeding company</t>
  </si>
  <si>
    <t>RAGT</t>
  </si>
  <si>
    <t xml:space="preserve">RAGT UK </t>
  </si>
  <si>
    <t>UK agent for RAGT r2n</t>
  </si>
  <si>
    <t>R2n</t>
  </si>
  <si>
    <t xml:space="preserve">RAGT R2n </t>
  </si>
  <si>
    <t>French seed breeding company</t>
  </si>
  <si>
    <t>DL</t>
  </si>
  <si>
    <t>Descriptive List</t>
  </si>
  <si>
    <t>Varieties on descriptive list (not fully recommended)</t>
  </si>
  <si>
    <t>SHEET NAME CODES</t>
  </si>
  <si>
    <t>EPRGDIP</t>
  </si>
  <si>
    <t>Early PRG Diploid</t>
  </si>
  <si>
    <t>Early perennial ryegrass diploid varieties</t>
  </si>
  <si>
    <t>EPRGTET</t>
  </si>
  <si>
    <t>Early PRG Tetraploid</t>
  </si>
  <si>
    <t>Early perennial ryegrass tetraploid varieties</t>
  </si>
  <si>
    <t>IPRGDIP</t>
  </si>
  <si>
    <t>Intermediate PRG Diploid</t>
  </si>
  <si>
    <t>Intermediate perennial ryegrass diploid varieties</t>
  </si>
  <si>
    <t>IPRGTET</t>
  </si>
  <si>
    <t>Intermediate PRG Tetraploid</t>
  </si>
  <si>
    <t>Intermediate perennial ryegrass tetraploid varieties</t>
  </si>
  <si>
    <t>LPRGDIP</t>
  </si>
  <si>
    <t>Late PRG Diploid</t>
  </si>
  <si>
    <t>Late perennial ryegrass diploid varieties</t>
  </si>
  <si>
    <t>LPRGTET</t>
  </si>
  <si>
    <t>Late PRG Tetraploid</t>
  </si>
  <si>
    <t>Late perennial ryegrass tetraploid varieties</t>
  </si>
  <si>
    <t>IRGDIP</t>
  </si>
  <si>
    <t>Italian RG Diploid</t>
  </si>
  <si>
    <t>Italian ryegrass diploid varieties</t>
  </si>
  <si>
    <t>IRGTET</t>
  </si>
  <si>
    <t>Italian RG Tetraploid</t>
  </si>
  <si>
    <t>Italian ryegrass tetraploid varieties</t>
  </si>
  <si>
    <t>HRGDIP</t>
  </si>
  <si>
    <t>Hybrid RG Diploid</t>
  </si>
  <si>
    <t>Hybrid ryegrass diploid varieties</t>
  </si>
  <si>
    <t>HRGTET</t>
  </si>
  <si>
    <t>Hybrid RG Tetraploid</t>
  </si>
  <si>
    <t>Hybrid ryegrass tetraploid varieties</t>
  </si>
  <si>
    <t>RCDIP</t>
  </si>
  <si>
    <t>Red Clover Diploid</t>
  </si>
  <si>
    <t>Red clover diploid varieties</t>
  </si>
  <si>
    <t>RCTET</t>
  </si>
  <si>
    <t>Red Clover Tetraploid</t>
  </si>
  <si>
    <t>Red clover tetraploid varieties</t>
  </si>
  <si>
    <t>Mean of G varieties</t>
  </si>
  <si>
    <t>Early diploid mean (G's only)</t>
  </si>
  <si>
    <t>Genesis</t>
  </si>
  <si>
    <t>Moyola</t>
  </si>
  <si>
    <t>Glasker</t>
  </si>
  <si>
    <t>RL status</t>
  </si>
  <si>
    <t>Heading date</t>
  </si>
  <si>
    <t>Grazing management</t>
  </si>
  <si>
    <t>Grazing yield (% of 8.79 t/ha)</t>
  </si>
  <si>
    <t xml:space="preserve">Grazing D-value </t>
  </si>
  <si>
    <t>ME yield (% of 108,000 MJ/ha)</t>
  </si>
  <si>
    <t>Ground cover % (grazing)</t>
  </si>
  <si>
    <t>Conservation management</t>
  </si>
  <si>
    <t>Total yield year 1 (% of 15.47 t/ha)</t>
  </si>
  <si>
    <t>1st and 2nd cut ME yield, first harvest year (% of 111,000 MJ/ha)</t>
  </si>
  <si>
    <t>Total yield year 3 (% of 11.46 t/ha)</t>
  </si>
  <si>
    <t>Total yield: Mean (% of 13.64 t/ha)</t>
  </si>
  <si>
    <t>Ground cover % (conservation year 3)</t>
  </si>
  <si>
    <t xml:space="preserve">Grazing seasonal growth </t>
  </si>
  <si>
    <t>Early grazing yield (% of 1.37 t/ha)</t>
  </si>
  <si>
    <t>Spring (% of 2.50 t/ha)</t>
  </si>
  <si>
    <t>Early summer (% of 2.99 t/ha)</t>
  </si>
  <si>
    <t>Late summer (% of 2.14 t/ha)</t>
  </si>
  <si>
    <t>Autumn (% of 1.28 t/ha)</t>
  </si>
  <si>
    <t>Conservation seasonal growth – Year 1</t>
  </si>
  <si>
    <t>1st cut (% of 6.63 t/ha)</t>
  </si>
  <si>
    <t>1st cut D-value</t>
  </si>
  <si>
    <t>2nd cut (% of 3.11 t/ha)</t>
  </si>
  <si>
    <t>2nd cut D-value</t>
  </si>
  <si>
    <t>3rd cut (% of 2.67 t/ha)</t>
  </si>
  <si>
    <t>4th+ cut (% of 2.99 t/ha)</t>
  </si>
  <si>
    <t>Agronomic characters</t>
  </si>
  <si>
    <t>Winter hardiness (1–9, 1 = poor, 9 = good)</t>
  </si>
  <si>
    <t>Disease resistance</t>
  </si>
  <si>
    <t>Crown rust (1–9, 1 = poor, 9 = good)</t>
  </si>
  <si>
    <t>Drechslera (1–9, 1 = poor, 9 = good)</t>
  </si>
  <si>
    <t>Mildew (1–9, 1 = poor, 9 = good)</t>
  </si>
  <si>
    <t>Year first listed, breeder and agent</t>
  </si>
  <si>
    <t>Year first listed</t>
  </si>
  <si>
    <t>Breeder</t>
  </si>
  <si>
    <t>Agent</t>
  </si>
  <si>
    <t>Barenbrug</t>
  </si>
  <si>
    <t>Number of trials for yields</t>
  </si>
  <si>
    <t>1st harvest year</t>
  </si>
  <si>
    <t>2nd harvest year</t>
  </si>
  <si>
    <t>3rd harvest year</t>
  </si>
  <si>
    <t>Note that the mean of G varieties includes all those from early, intermediate and late maturity groups.</t>
  </si>
  <si>
    <t xml:space="preserve">Yields are expressed as a percentage of the mean of all fully recommended PRG varieties in trials. Grazing yields are measured in year 2, conservation yields in years 1 and 3. </t>
  </si>
  <si>
    <t>Grazing D-value is measured from a late-summer cut in year 2 and the grazing ME yields are calculated as total yield multiplied by the D-value x 0.16.</t>
  </si>
  <si>
    <t xml:space="preserve">Conservation D-value is measured from both the 1st and 2nd cuts in year 1.  </t>
  </si>
  <si>
    <t>Conservation ME yields are calculated as the first year first cut multiplied by its D-value x 0.16, plus the first year second cut yield multiplied by its D-value x 0.16.</t>
  </si>
  <si>
    <t>[ ] = Limited data – only available from two trials.</t>
  </si>
  <si>
    <t>No highlighting or LSD for tetraploid varieties as no decisions to be made.</t>
  </si>
  <si>
    <t>Early tetraploid mean (G's only)</t>
  </si>
  <si>
    <t>AberTorch</t>
  </si>
  <si>
    <t>Cooky</t>
  </si>
  <si>
    <t>Barwave</t>
  </si>
  <si>
    <t>[6.9]</t>
  </si>
  <si>
    <t>[8.0]</t>
  </si>
  <si>
    <t>Germinal</t>
  </si>
  <si>
    <t xml:space="preserve">Intermediate perennial ryegrass diploid varieties </t>
  </si>
  <si>
    <t>Int. diploid mean (G's only)</t>
  </si>
  <si>
    <t>Laurelvale</t>
  </si>
  <si>
    <t>Galgorm</t>
  </si>
  <si>
    <t>Bartui</t>
  </si>
  <si>
    <t>Nifty</t>
  </si>
  <si>
    <t>Moira</t>
  </si>
  <si>
    <t>Goldwell</t>
  </si>
  <si>
    <t>AberZeus</t>
  </si>
  <si>
    <t>Portadown</t>
  </si>
  <si>
    <t xml:space="preserve">AberMagic </t>
  </si>
  <si>
    <t>AberWolf</t>
  </si>
  <si>
    <t>Gosford</t>
  </si>
  <si>
    <t>Alecto</t>
  </si>
  <si>
    <t>Agaska</t>
  </si>
  <si>
    <t>AberGreen</t>
  </si>
  <si>
    <t>Farmington</t>
  </si>
  <si>
    <t>AberTweed</t>
  </si>
  <si>
    <t xml:space="preserve">1st cut D-value </t>
  </si>
  <si>
    <t>[6.8]</t>
  </si>
  <si>
    <t>[7.1]</t>
  </si>
  <si>
    <t>Limagrain</t>
  </si>
  <si>
    <t>Int. tetraploid mean (G and S)</t>
  </si>
  <si>
    <t>Fintona</t>
  </si>
  <si>
    <t>Seagoe</t>
  </si>
  <si>
    <t>Tollymore</t>
  </si>
  <si>
    <t>Banbridge</t>
  </si>
  <si>
    <t>Nolwen</t>
  </si>
  <si>
    <t>Ballygowan</t>
  </si>
  <si>
    <t>AberRoot (Festulolium)</t>
  </si>
  <si>
    <t>Castlewellan</t>
  </si>
  <si>
    <t>Ritchie</t>
  </si>
  <si>
    <t>Glenville</t>
  </si>
  <si>
    <t>Chatsworth</t>
  </si>
  <si>
    <t>Futural</t>
  </si>
  <si>
    <t>AberSpey</t>
  </si>
  <si>
    <t>Convey</t>
  </si>
  <si>
    <t>Dunluce</t>
  </si>
  <si>
    <t>AstonEnergy</t>
  </si>
  <si>
    <t xml:space="preserve">2nd cut D-value </t>
  </si>
  <si>
    <t>Goldcrop</t>
  </si>
  <si>
    <t>Late diploid mean (Gs only)</t>
  </si>
  <si>
    <t>Wetherby</t>
  </si>
  <si>
    <t>AberSevern</t>
  </si>
  <si>
    <t>Callan</t>
  </si>
  <si>
    <t>AberEsk</t>
  </si>
  <si>
    <t>Silago</t>
  </si>
  <si>
    <t>Harrenhal</t>
  </si>
  <si>
    <t>Toddington</t>
  </si>
  <si>
    <t>AberTest</t>
  </si>
  <si>
    <t>Graphic</t>
  </si>
  <si>
    <t>Dundrod</t>
  </si>
  <si>
    <t>Scartorp</t>
  </si>
  <si>
    <t>Bandon</t>
  </si>
  <si>
    <t>Angorat</t>
  </si>
  <si>
    <t>Ballyvoy</t>
  </si>
  <si>
    <t>Bomium</t>
  </si>
  <si>
    <t>AberAvon</t>
  </si>
  <si>
    <t>Oakpark</t>
  </si>
  <si>
    <t>Crossgar</t>
  </si>
  <si>
    <t>Frogmore</t>
  </si>
  <si>
    <t>Drumbo</t>
  </si>
  <si>
    <t>Glenarm</t>
  </si>
  <si>
    <t>Fermoy</t>
  </si>
  <si>
    <t>Zorgue</t>
  </si>
  <si>
    <t>AberBann</t>
  </si>
  <si>
    <t>Timuco</t>
  </si>
  <si>
    <t>Charlfield</t>
  </si>
  <si>
    <t>AberThames</t>
  </si>
  <si>
    <t>Swan</t>
  </si>
  <si>
    <t>AberLee</t>
  </si>
  <si>
    <t>Delika</t>
  </si>
  <si>
    <t>AberLiffey</t>
  </si>
  <si>
    <t>AberChoice</t>
  </si>
  <si>
    <t>AberDon</t>
  </si>
  <si>
    <t>[7.8]</t>
  </si>
  <si>
    <t>[8.3]</t>
  </si>
  <si>
    <t>[8.6]</t>
  </si>
  <si>
    <t>GIE Grass</t>
  </si>
  <si>
    <t>Mean of  G  varieties</t>
  </si>
  <si>
    <t>Late tetraploid mean (G and S)</t>
  </si>
  <si>
    <t>Ballintoy</t>
  </si>
  <si>
    <t>AberForth</t>
  </si>
  <si>
    <t>Richhill</t>
  </si>
  <si>
    <t>Ardress</t>
  </si>
  <si>
    <t>Meiduno</t>
  </si>
  <si>
    <t>Gracehill</t>
  </si>
  <si>
    <t>AberGain</t>
  </si>
  <si>
    <t>Nashota</t>
  </si>
  <si>
    <t>AstonEmpire</t>
  </si>
  <si>
    <t>AstonGlory</t>
  </si>
  <si>
    <t>Diploid mean (Gs only)</t>
  </si>
  <si>
    <t>Crocodyl</t>
  </si>
  <si>
    <t>Shakira</t>
  </si>
  <si>
    <t>Bigdyl</t>
  </si>
  <si>
    <t>Fox</t>
  </si>
  <si>
    <t>Giacomo</t>
  </si>
  <si>
    <t>Alamo</t>
  </si>
  <si>
    <t>Pinaco</t>
  </si>
  <si>
    <t>Jaccar</t>
  </si>
  <si>
    <t>Sendero</t>
  </si>
  <si>
    <t>Abys</t>
  </si>
  <si>
    <t>Ascari</t>
  </si>
  <si>
    <t>Exotyl</t>
  </si>
  <si>
    <t>Total annual yields</t>
  </si>
  <si>
    <t>1st harvest year (% of 16.56 t/ha)</t>
  </si>
  <si>
    <t>2nd harvest year (% of 13.02 t/ha)</t>
  </si>
  <si>
    <t>Total yield: Mean (% of 14.86 t/ha)</t>
  </si>
  <si>
    <t>1st and 2nd cut ME yield, 1st harvest year (% of 109,000 MJ/ha)</t>
  </si>
  <si>
    <t>Year of sowing (% of 1.91 t/ha)</t>
  </si>
  <si>
    <t>Conservational seasonal growth (1st harvest year)</t>
  </si>
  <si>
    <t>Early spring growth (% of 1.83 t/ha)</t>
  </si>
  <si>
    <t>1st conservation cut (% of 5.94 t/ha)</t>
  </si>
  <si>
    <t xml:space="preserve">1st conservation cut D-value </t>
  </si>
  <si>
    <t>2nd conservation cut (% of 3.94 t/ha)</t>
  </si>
  <si>
    <t xml:space="preserve">2nd conservation cut D-value </t>
  </si>
  <si>
    <t>Monthly cuts (% of 4.95 t/ha)</t>
  </si>
  <si>
    <t>Ground cover % (1st harvest year)</t>
  </si>
  <si>
    <t>Ground cover % (2nd harvest year)</t>
  </si>
  <si>
    <t>[8.1]</t>
  </si>
  <si>
    <t>[9.0]</t>
  </si>
  <si>
    <t>[5.8]</t>
  </si>
  <si>
    <t>[6.4]</t>
  </si>
  <si>
    <t>[7.9]</t>
  </si>
  <si>
    <t>Brown rust (1–9, 1 = poor, 9 = good)</t>
  </si>
  <si>
    <t>[7.0]</t>
  </si>
  <si>
    <t>[4.8]</t>
  </si>
  <si>
    <t>Ryegrass mosaic virus (1–9, 1 = poor, 9 = good)</t>
  </si>
  <si>
    <t>Semences de France</t>
  </si>
  <si>
    <t>Year of sowing</t>
  </si>
  <si>
    <t xml:space="preserve">Yields are expressed as a percentage of the mean of all fully recommended Italian ryegrass varieties in trials. </t>
  </si>
  <si>
    <t xml:space="preserve">Conservation D-value is measured from both the 2nd and 3rd cuts in year 1. </t>
  </si>
  <si>
    <t>Conservation ME yields are calculated as the first year 2nd cut multiplied by its D-value x 0.16, plus the first year 3rd cut multiplied by its D-value x 0.16.</t>
  </si>
  <si>
    <t>Tetraploid mean (Gs only)</t>
  </si>
  <si>
    <t>Rotor</t>
  </si>
  <si>
    <t>Kigezi 1</t>
  </si>
  <si>
    <t>Emotion</t>
  </si>
  <si>
    <t>Melsprinter</t>
  </si>
  <si>
    <t>Hunter</t>
  </si>
  <si>
    <t>Melsitra</t>
  </si>
  <si>
    <t>Arman</t>
  </si>
  <si>
    <t>Messina</t>
  </si>
  <si>
    <t>Barmultra II</t>
  </si>
  <si>
    <t>Barimax</t>
  </si>
  <si>
    <t>1st and 2nd cut ME yield, first harvest year (% of 109,000 MJ/ha)</t>
  </si>
  <si>
    <t>[8.8]</t>
  </si>
  <si>
    <t>[8.5]</t>
  </si>
  <si>
    <t>[6.3]</t>
  </si>
  <si>
    <t>ILVO</t>
  </si>
  <si>
    <t>Freudenberger</t>
  </si>
  <si>
    <t xml:space="preserve">Hybrid ryegrass diploid varieties </t>
  </si>
  <si>
    <t>Diploid Mean              (= Barsilo)</t>
  </si>
  <si>
    <t>Diploid mean (G and S)</t>
  </si>
  <si>
    <t>Barlaunch</t>
  </si>
  <si>
    <t>Pirol</t>
  </si>
  <si>
    <t>Barsilo</t>
  </si>
  <si>
    <t>Barclamp</t>
  </si>
  <si>
    <t>1st harvest year (% of 16.31 t/ha)</t>
  </si>
  <si>
    <t>2nd harvest year (% of 12.13 t/ha)</t>
  </si>
  <si>
    <t>3rd harvest year (% of 10.81 t/ha)</t>
  </si>
  <si>
    <t>Total yield: Mean (% of 13.23 t/ha)</t>
  </si>
  <si>
    <t>1st and 2nd cut ME yield, first harvest year (% of 108,000 MJ/ha)</t>
  </si>
  <si>
    <t>Early spring growth (% of 1.65 t/ha)</t>
  </si>
  <si>
    <t>1st conservation cut (% of 6.01 t/ha)</t>
  </si>
  <si>
    <t>2nd conservation cut (% of 3.50 t/ha)</t>
  </si>
  <si>
    <t>2nd conservation cut D-value</t>
  </si>
  <si>
    <t>Monthly cuts (% of 5.14 t/ha)</t>
  </si>
  <si>
    <t>Ground cover % (3rd harvest year)</t>
  </si>
  <si>
    <t>Year of sowing (% of 1.42 t/ha)</t>
  </si>
  <si>
    <t>[120]</t>
  </si>
  <si>
    <t>[6.7]</t>
  </si>
  <si>
    <t>Steinach</t>
  </si>
  <si>
    <t xml:space="preserve">Yields are expressed as a percentage of the mean of all fully recommended hybrid ryegrass varieties in trials. </t>
  </si>
  <si>
    <t>Conservation D-value is measured from both the 2nd and 3rd cuts in year 1.</t>
  </si>
  <si>
    <t>Hybrid diploids have more secondary heading than hybrid tetraploids.</t>
  </si>
  <si>
    <t xml:space="preserve">Hybrid ryegrass tetraploid varieties </t>
  </si>
  <si>
    <t>Kubicek                                 (Festulolium)</t>
  </si>
  <si>
    <t>AberEcho</t>
  </si>
  <si>
    <t>Aston Crusader</t>
  </si>
  <si>
    <t>Enduro</t>
  </si>
  <si>
    <t>Utopial</t>
  </si>
  <si>
    <t>Loucama</t>
  </si>
  <si>
    <t xml:space="preserve">Tetragraze            </t>
  </si>
  <si>
    <t xml:space="preserve">Bannfoot      </t>
  </si>
  <si>
    <t>Perkins</t>
  </si>
  <si>
    <t>AberOpal</t>
  </si>
  <si>
    <t>Kirial</t>
  </si>
  <si>
    <t>RGT Cordial</t>
  </si>
  <si>
    <t>AberNiche (Festulolium)</t>
  </si>
  <si>
    <t>Perseus (Festulolium)</t>
  </si>
  <si>
    <t>AberImage</t>
  </si>
  <si>
    <t>[94]</t>
  </si>
  <si>
    <t>[8.9]</t>
  </si>
  <si>
    <t>[7.2]</t>
  </si>
  <si>
    <t>[7.7]</t>
  </si>
  <si>
    <t>[7.5]</t>
  </si>
  <si>
    <t>Timothy varieties</t>
  </si>
  <si>
    <t xml:space="preserve">Presto </t>
  </si>
  <si>
    <t>Promesse</t>
  </si>
  <si>
    <t>Comer</t>
  </si>
  <si>
    <t>Dolina</t>
  </si>
  <si>
    <t>Comtal</t>
  </si>
  <si>
    <t>Winnetou</t>
  </si>
  <si>
    <t>Baronaise</t>
  </si>
  <si>
    <t xml:space="preserve">Grazing management </t>
  </si>
  <si>
    <t>Grazing yield (% of 8.08 t/ha)</t>
  </si>
  <si>
    <t>ME yield (% of 95,000 MJ/ha)</t>
  </si>
  <si>
    <t>Total yield year 1 (% of 11.74 t/ha)</t>
  </si>
  <si>
    <t>ME yield of 1st + 2nd cut year 1 (% of 82 000 MJ/ha)</t>
  </si>
  <si>
    <t>Total yield year 3 (% of 10.84 t/ha)</t>
  </si>
  <si>
    <t>Total yield: Mean (% of 11.33 t/ha)</t>
  </si>
  <si>
    <t>Early grazing yield (% of 1.43 t/ha)</t>
  </si>
  <si>
    <t>Spring (% of 2.71 t/ha)</t>
  </si>
  <si>
    <t>Early summer (% of 2.97 t/ha)</t>
  </si>
  <si>
    <t>Late summer (% of 1.90 t/ha)</t>
  </si>
  <si>
    <t>Autumn (% of 0.85 t/ha)</t>
  </si>
  <si>
    <t>1st cut (% of 5.15 t/ha)</t>
  </si>
  <si>
    <t>2nd cut (% of 2.86 t/ha)</t>
  </si>
  <si>
    <t>3rd cut (% of 1.86 t/ha)</t>
  </si>
  <si>
    <t>4th+ cut (% of 1.87 t/ha)</t>
  </si>
  <si>
    <t xml:space="preserve">Yields are expressed as a percentage of the mean of all fully recommended timothy varieties in trials. Grazing yields are measured in year 2, conservation yields in years 1 and 3. </t>
  </si>
  <si>
    <t>No highlighting or LSD as no decisions to be made.</t>
  </si>
  <si>
    <t xml:space="preserve">White clover varieties </t>
  </si>
  <si>
    <t>AberAce</t>
  </si>
  <si>
    <t xml:space="preserve">Aberystwyth S.184 </t>
  </si>
  <si>
    <t>Quartz</t>
  </si>
  <si>
    <t>Coolfin</t>
  </si>
  <si>
    <t>AberHerald</t>
  </si>
  <si>
    <t>Iona</t>
  </si>
  <si>
    <t>Dublin</t>
  </si>
  <si>
    <t>AberSwan</t>
  </si>
  <si>
    <t>Dungloe</t>
  </si>
  <si>
    <t>AberSirius</t>
  </si>
  <si>
    <t>Ruru</t>
  </si>
  <si>
    <t>Violin</t>
  </si>
  <si>
    <t>Barblanca</t>
  </si>
  <si>
    <t>Emma</t>
  </si>
  <si>
    <t>Clodagh</t>
  </si>
  <si>
    <t>Legacy</t>
  </si>
  <si>
    <t>Kakariki</t>
  </si>
  <si>
    <t>Aran</t>
  </si>
  <si>
    <t>Brianna</t>
  </si>
  <si>
    <t xml:space="preserve">Leaf area (length × breadth mm2) </t>
  </si>
  <si>
    <t>Light defoliation (cutting or rotational cattle grazing) (2nd harvest year)</t>
  </si>
  <si>
    <t xml:space="preserve">Total clover yield (% of 4.45 t/ha) </t>
  </si>
  <si>
    <t xml:space="preserve">Total yield: Grass + clover (% of 9.85 t/ha) </t>
  </si>
  <si>
    <t>% clover</t>
  </si>
  <si>
    <t>Light defoliation (cutting or rotational cattle grazing) (3rd harvest year)</t>
  </si>
  <si>
    <t xml:space="preserve">Total clover yield (% of 3.78 t/ha) </t>
  </si>
  <si>
    <t xml:space="preserve">Total yield of grass + clover (% of 8.77 t/ha) </t>
  </si>
  <si>
    <t xml:space="preserve">Autumn ground cover </t>
  </si>
  <si>
    <t>Light defoliation: Ground cover % (3rd harvest year)</t>
  </si>
  <si>
    <t>Hard defoliation: Ground cover % (3rd harvest year)</t>
  </si>
  <si>
    <t>Spring ground cover</t>
  </si>
  <si>
    <t xml:space="preserve">Clover yield: First cut (% of 0.55 t/ha) </t>
  </si>
  <si>
    <t xml:space="preserve">Clover yield: Last cut (% of 0.52 t/ha) </t>
  </si>
  <si>
    <t xml:space="preserve">Clover yield: First cut (% of 0.57 t/ha) </t>
  </si>
  <si>
    <t xml:space="preserve">Clover yield: Last cut (% of 0.39 t/ha) </t>
  </si>
  <si>
    <t>Light defoliation: Ground cover % (1st harvest year)</t>
  </si>
  <si>
    <t>Light defoliation: Ground cover % (2nd harvest year)</t>
  </si>
  <si>
    <t>Hard defoliation: Ground cover % (1st harvest year)</t>
  </si>
  <si>
    <t>Hard defoliation: Ground cover % (2nd harvest year)</t>
  </si>
  <si>
    <t>Grasslands Innovation</t>
  </si>
  <si>
    <t>AgResearch</t>
  </si>
  <si>
    <t>PGG Wrightson</t>
  </si>
  <si>
    <t>Number of trials for clover yields</t>
  </si>
  <si>
    <t xml:space="preserve">Yields are expressed as a percentage of the mean of all fully recommended white clover varieties in trials. </t>
  </si>
  <si>
    <t>AberClaret</t>
  </si>
  <si>
    <t>Harmonie</t>
  </si>
  <si>
    <t xml:space="preserve">Sinope      </t>
  </si>
  <si>
    <t>Fearga</t>
  </si>
  <si>
    <t>Ganymed</t>
  </si>
  <si>
    <t>Taigete</t>
  </si>
  <si>
    <t>RGT Javva</t>
  </si>
  <si>
    <t>Kallichore</t>
  </si>
  <si>
    <t xml:space="preserve">Total yield 1st harvest year (% of 11.49 t/ha) </t>
  </si>
  <si>
    <t>Total yield 2nd harvest year (% of 12.80 t/ha)</t>
  </si>
  <si>
    <t>Total yield 3rd harvest year (% of 8.89 t/ha)</t>
  </si>
  <si>
    <t>Total yield: Mean (% of 11.18 t/ha)</t>
  </si>
  <si>
    <t>Protein content %</t>
  </si>
  <si>
    <t>1st cut – 1st harvest year</t>
  </si>
  <si>
    <t>2nd cut – 2nd harvest year</t>
  </si>
  <si>
    <t>2nd cut – 3rd harvest year</t>
  </si>
  <si>
    <t>Conservation seasonal growth (1st harvest year)</t>
  </si>
  <si>
    <t>1st cut (% of 4.75 t/ha)</t>
  </si>
  <si>
    <t>Protein yield: 1st cut (% of 0.84 t/ha)</t>
  </si>
  <si>
    <t>Conservation seasonal growth (2nd harvest year)</t>
  </si>
  <si>
    <t>2nd cut (% of 3.59 t/ha)</t>
  </si>
  <si>
    <t>Protein yield: 2nd cut (% of 0.69 t/ha)</t>
  </si>
  <si>
    <t>Conservation seasonal growth (3rd harvest year)</t>
  </si>
  <si>
    <t>2nd cut (% of 2.76 t/ha)</t>
  </si>
  <si>
    <t>Protein yield: 2nd cut (% of 0.54 t/ha)</t>
  </si>
  <si>
    <t xml:space="preserve">Yields are expressed as a percentage of the mean of all fully recommended red clover varieties in trials. </t>
  </si>
  <si>
    <t>Amos</t>
  </si>
  <si>
    <t xml:space="preserve">Atlantis          </t>
  </si>
  <si>
    <t>Magellan</t>
  </si>
  <si>
    <t xml:space="preserve">Descriptive list of lucerne varieties </t>
  </si>
  <si>
    <t>Mean of DL varieties</t>
  </si>
  <si>
    <t>Cigale</t>
  </si>
  <si>
    <t>Andantino</t>
  </si>
  <si>
    <t>Barallix</t>
  </si>
  <si>
    <t>Luxury</t>
  </si>
  <si>
    <t>Mezzo</t>
  </si>
  <si>
    <t xml:space="preserve">Descriptive list status </t>
  </si>
  <si>
    <t xml:space="preserve">DL </t>
  </si>
  <si>
    <t>Total yield 1st harvest year (% of 7.78 t/ha)</t>
  </si>
  <si>
    <t>Total yield 2nd harvest year (% of 13.84 t/ha)</t>
  </si>
  <si>
    <t>Total yield: Mean (% of 9.80 t/ha)</t>
  </si>
  <si>
    <t>Seasonal growth (1st harvest year)</t>
  </si>
  <si>
    <t>1st cut (% of 3.56 t/ha)</t>
  </si>
  <si>
    <t>Protein content %: 1st cut</t>
  </si>
  <si>
    <t>GIE</t>
  </si>
  <si>
    <t>Descriptive list of cocksfoot varieties</t>
  </si>
  <si>
    <t>Sparta</t>
  </si>
  <si>
    <t>Lidacta</t>
  </si>
  <si>
    <t>RGT Lovely</t>
  </si>
  <si>
    <t>Grazing management #</t>
  </si>
  <si>
    <t>Grazing yield (% of 9.94 t/ha)</t>
  </si>
  <si>
    <t>Grazing D-value</t>
  </si>
  <si>
    <t>Total yield 1st harvest year (% of 13.04 t/ha)</t>
  </si>
  <si>
    <t>Ground cover % (conservation year 1)</t>
  </si>
  <si>
    <t>Grazing seasonal growth #</t>
  </si>
  <si>
    <t>Early grazing yield (% of 1.80 t/ha)</t>
  </si>
  <si>
    <t>Spring (% of 3.03 t/ha)</t>
  </si>
  <si>
    <t>Early summer (% of 3.22 t/ha)</t>
  </si>
  <si>
    <t>Late summer (% of 2.85 t/ha)</t>
  </si>
  <si>
    <t>Autumn (% of 0.84 t/ha)</t>
  </si>
  <si>
    <t>1st cut (% of 4.78 t/ha)</t>
  </si>
  <si>
    <t>1st conservation cut D-value</t>
  </si>
  <si>
    <t>2nd cut (% of 2.41 t/ha)</t>
  </si>
  <si>
    <t>3rd cut (% of 2.69 t/ha)</t>
  </si>
  <si>
    <t>4th+ cut (% of 3.16 t/ha)</t>
  </si>
  <si>
    <t>N/A</t>
  </si>
  <si>
    <t>Resistance to mildew (1–9, 1 = poor, 9 = good)</t>
  </si>
  <si>
    <t>Resistance to mastigosporium (1–9, 1 = poor, 9 = good)</t>
  </si>
  <si>
    <t>[2]</t>
  </si>
  <si>
    <t>Resistance to yellow rust (1–9, 1 = poor, 9 = good)</t>
  </si>
  <si>
    <t>[ ] = Only available from two trials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</si>
</sst>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\-mmm"/>
    <numFmt numFmtId="165" formatCode="0.0"/>
    <numFmt numFmtId="166" formatCode="0.000"/>
    <numFmt numFmtId="167" formatCode="0.00000"/>
    <numFmt numFmtId="168" formatCode="0.000000000000000000000000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indexed="10"/>
      <name val="Arial"/>
      <family val="2"/>
    </font>
    <font>
      <sz val="10"/>
      <color rgb="FF0070C0"/>
      <name val="Arial"/>
      <family val="2"/>
    </font>
    <font>
      <sz val="10"/>
      <color theme="5"/>
      <name val="Arial"/>
      <family val="2"/>
    </font>
    <font>
      <sz val="11"/>
      <color theme="5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C2EDC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1E631D"/>
        <bgColor indexed="64"/>
      </patternFill>
    </fill>
    <fill>
      <patternFill patternType="solid">
        <fgColor rgb="FFE2EFDA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998">
    <xf numFmtId="0" fontId="0" fillId="0" borderId="0"/>
    <xf numFmtId="0" fontId="2" fillId="27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3" fillId="6" borderId="19" applyNumberFormat="0" applyAlignment="0" applyProtection="0"/>
    <xf numFmtId="0" fontId="34" fillId="22" borderId="20" applyNumberFormat="0" applyAlignment="0" applyProtection="0"/>
    <xf numFmtId="0" fontId="35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23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23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23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24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24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24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19" fillId="0" borderId="2" applyNumberFormat="0" applyFill="0" applyAlignment="0" applyProtection="0"/>
    <xf numFmtId="0" fontId="25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5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5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37" fillId="6" borderId="19" applyNumberFormat="0" applyAlignment="0" applyProtection="0"/>
    <xf numFmtId="0" fontId="26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6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6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15" fillId="24" borderId="21" applyNumberFormat="0" applyFon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39" fillId="6" borderId="22" applyNumberFormat="0" applyAlignment="0" applyProtection="0"/>
    <xf numFmtId="0" fontId="9" fillId="0" borderId="0"/>
    <xf numFmtId="0" fontId="2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1" fillId="0" borderId="0" applyNumberFormat="0" applyFill="0" applyBorder="0" applyAlignment="0" applyProtection="0"/>
    <xf numFmtId="0" fontId="3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</cellStyleXfs>
  <cellXfs count="193">
    <xf numFmtId="0" fontId="0" fillId="0" borderId="0" xfId="0"/>
    <xf numFmtId="0" fontId="6" fillId="0" borderId="0" xfId="0" applyFont="1"/>
    <xf numFmtId="0" fontId="7" fillId="0" borderId="0" xfId="0" applyFont="1" applyAlignment="1" applyProtection="1">
      <alignment horizontal="center" textRotation="90"/>
      <protection hidden="1"/>
    </xf>
    <xf numFmtId="0" fontId="7" fillId="0" borderId="0" xfId="0" applyFont="1" applyAlignment="1" applyProtection="1">
      <alignment horizontal="center" textRotation="90" wrapText="1"/>
      <protection hidden="1"/>
    </xf>
    <xf numFmtId="0" fontId="7" fillId="0" borderId="0" xfId="0" applyFont="1"/>
    <xf numFmtId="0" fontId="4" fillId="0" borderId="0" xfId="0" applyFont="1"/>
    <xf numFmtId="0" fontId="7" fillId="0" borderId="0" xfId="0" applyFont="1" applyAlignment="1" applyProtection="1">
      <alignment horizontal="center"/>
      <protection hidden="1"/>
    </xf>
    <xf numFmtId="0" fontId="0" fillId="0" borderId="0" xfId="0" applyAlignment="1">
      <alignment vertical="center"/>
    </xf>
    <xf numFmtId="0" fontId="7" fillId="0" borderId="8" xfId="0" applyFont="1" applyBorder="1"/>
    <xf numFmtId="0" fontId="5" fillId="0" borderId="0" xfId="0" applyFont="1" applyProtection="1">
      <protection hidden="1"/>
    </xf>
    <xf numFmtId="0" fontId="9" fillId="0" borderId="0" xfId="0" applyFont="1"/>
    <xf numFmtId="0" fontId="5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Alignment="1" applyProtection="1">
      <alignment horizontal="center"/>
      <protection hidden="1"/>
    </xf>
    <xf numFmtId="0" fontId="7" fillId="0" borderId="0" xfId="1540" applyFont="1" applyAlignment="1" applyProtection="1">
      <alignment horizontal="right"/>
      <protection hidden="1"/>
    </xf>
    <xf numFmtId="0" fontId="42" fillId="0" borderId="0" xfId="0" applyFont="1"/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vertical="top"/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164" fontId="4" fillId="0" borderId="7" xfId="0" applyNumberFormat="1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>
      <alignment horizontal="center" vertical="center"/>
    </xf>
    <xf numFmtId="165" fontId="40" fillId="0" borderId="0" xfId="0" applyNumberFormat="1" applyFont="1" applyAlignment="1">
      <alignment horizontal="center"/>
    </xf>
    <xf numFmtId="0" fontId="43" fillId="0" borderId="0" xfId="0" applyFont="1"/>
    <xf numFmtId="0" fontId="43" fillId="0" borderId="0" xfId="0" applyFont="1" applyAlignment="1" applyProtection="1">
      <alignment horizontal="center"/>
      <protection hidden="1"/>
    </xf>
    <xf numFmtId="1" fontId="4" fillId="0" borderId="7" xfId="0" applyNumberFormat="1" applyFont="1" applyBorder="1" applyAlignment="1" applyProtection="1">
      <alignment horizontal="center" vertical="center"/>
      <protection hidden="1"/>
    </xf>
    <xf numFmtId="0" fontId="4" fillId="0" borderId="7" xfId="0" quotePrefix="1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>
      <alignment vertical="center"/>
    </xf>
    <xf numFmtId="165" fontId="0" fillId="0" borderId="0" xfId="0" applyNumberFormat="1"/>
    <xf numFmtId="1" fontId="0" fillId="0" borderId="0" xfId="0" applyNumberFormat="1"/>
    <xf numFmtId="1" fontId="4" fillId="0" borderId="0" xfId="0" applyNumberFormat="1" applyFont="1"/>
    <xf numFmtId="165" fontId="4" fillId="0" borderId="7" xfId="0" applyNumberFormat="1" applyFont="1" applyBorder="1" applyAlignment="1" applyProtection="1">
      <alignment horizontal="center" vertical="center"/>
      <protection hidden="1"/>
    </xf>
    <xf numFmtId="2" fontId="4" fillId="0" borderId="0" xfId="0" applyNumberFormat="1" applyFont="1"/>
    <xf numFmtId="1" fontId="4" fillId="0" borderId="7" xfId="0" quotePrefix="1" applyNumberFormat="1" applyFont="1" applyBorder="1" applyAlignment="1" applyProtection="1">
      <alignment horizontal="center"/>
      <protection hidden="1"/>
    </xf>
    <xf numFmtId="0" fontId="4" fillId="0" borderId="7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 applyProtection="1">
      <alignment horizontal="left" vertical="center"/>
      <protection hidden="1"/>
    </xf>
    <xf numFmtId="1" fontId="4" fillId="0" borderId="7" xfId="0" applyNumberFormat="1" applyFont="1" applyBorder="1" applyAlignment="1" applyProtection="1">
      <alignment horizontal="left" vertical="center" wrapText="1"/>
      <protection hidden="1"/>
    </xf>
    <xf numFmtId="1" fontId="7" fillId="0" borderId="7" xfId="0" applyNumberFormat="1" applyFont="1" applyBorder="1" applyAlignment="1" applyProtection="1">
      <alignment horizontal="left"/>
      <protection hidden="1"/>
    </xf>
    <xf numFmtId="0" fontId="7" fillId="0" borderId="7" xfId="0" applyFont="1" applyBorder="1" applyAlignment="1">
      <alignment horizontal="left" vertical="center"/>
    </xf>
    <xf numFmtId="165" fontId="7" fillId="0" borderId="7" xfId="0" applyNumberFormat="1" applyFont="1" applyBorder="1" applyAlignment="1">
      <alignment horizontal="left" vertical="center"/>
    </xf>
    <xf numFmtId="1" fontId="4" fillId="0" borderId="7" xfId="0" quotePrefix="1" applyNumberFormat="1" applyFont="1" applyBorder="1" applyAlignment="1" applyProtection="1">
      <alignment horizontal="center" vertical="center"/>
      <protection hidden="1"/>
    </xf>
    <xf numFmtId="1" fontId="7" fillId="0" borderId="7" xfId="0" applyNumberFormat="1" applyFont="1" applyBorder="1" applyAlignment="1" applyProtection="1">
      <alignment horizontal="left" vertical="center"/>
      <protection hidden="1"/>
    </xf>
    <xf numFmtId="0" fontId="45" fillId="0" borderId="7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/>
      <protection hidden="1"/>
    </xf>
    <xf numFmtId="165" fontId="4" fillId="0" borderId="7" xfId="0" quotePrefix="1" applyNumberFormat="1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165" fontId="4" fillId="0" borderId="7" xfId="0" applyNumberFormat="1" applyFont="1" applyBorder="1" applyAlignment="1" applyProtection="1">
      <alignment horizontal="center" vertical="center" wrapText="1"/>
      <protection hidden="1"/>
    </xf>
    <xf numFmtId="165" fontId="4" fillId="0" borderId="7" xfId="0" quotePrefix="1" applyNumberFormat="1" applyFont="1" applyBorder="1" applyAlignment="1" applyProtection="1">
      <alignment horizontal="center" vertical="center" wrapText="1"/>
      <protection hidden="1"/>
    </xf>
    <xf numFmtId="0" fontId="4" fillId="0" borderId="7" xfId="154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4" fillId="0" borderId="7" xfId="0" applyFont="1" applyBorder="1" applyAlignment="1" applyProtection="1">
      <alignment horizontal="center" vertical="center"/>
      <protection hidden="1"/>
    </xf>
    <xf numFmtId="1" fontId="4" fillId="0" borderId="7" xfId="1540" applyNumberFormat="1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0" fontId="7" fillId="0" borderId="7" xfId="1540" applyFont="1" applyBorder="1" applyAlignment="1" applyProtection="1">
      <alignment horizontal="left" vertical="center"/>
      <protection hidden="1"/>
    </xf>
    <xf numFmtId="1" fontId="4" fillId="0" borderId="7" xfId="1540" applyNumberFormat="1" applyFont="1" applyBorder="1" applyAlignment="1" applyProtection="1">
      <alignment horizontal="left" vertical="center"/>
      <protection hidden="1"/>
    </xf>
    <xf numFmtId="0" fontId="4" fillId="0" borderId="7" xfId="1540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>
      <alignment horizontal="left" vertical="center"/>
    </xf>
    <xf numFmtId="166" fontId="4" fillId="0" borderId="7" xfId="0" applyNumberFormat="1" applyFont="1" applyBorder="1" applyAlignment="1" applyProtection="1">
      <alignment horizontal="center" vertical="center"/>
      <protection hidden="1"/>
    </xf>
    <xf numFmtId="165" fontId="4" fillId="0" borderId="7" xfId="1540" applyNumberFormat="1" applyFont="1" applyBorder="1" applyAlignment="1" applyProtection="1">
      <alignment horizontal="left" vertical="center"/>
      <protection hidden="1"/>
    </xf>
    <xf numFmtId="0" fontId="10" fillId="0" borderId="0" xfId="0" applyFont="1" applyProtection="1">
      <protection hidden="1"/>
    </xf>
    <xf numFmtId="0" fontId="11" fillId="0" borderId="7" xfId="0" applyFont="1" applyBorder="1" applyAlignment="1" applyProtection="1">
      <alignment horizontal="center" vertical="center"/>
      <protection hidden="1"/>
    </xf>
    <xf numFmtId="165" fontId="4" fillId="0" borderId="7" xfId="0" applyNumberFormat="1" applyFont="1" applyBorder="1" applyAlignment="1" applyProtection="1">
      <alignment horizontal="left" vertical="center"/>
      <protection hidden="1"/>
    </xf>
    <xf numFmtId="0" fontId="4" fillId="0" borderId="7" xfId="1540" applyFont="1" applyBorder="1" applyAlignment="1">
      <alignment horizontal="left" vertical="center"/>
    </xf>
    <xf numFmtId="165" fontId="7" fillId="0" borderId="7" xfId="1540" applyNumberFormat="1" applyFont="1" applyBorder="1" applyAlignment="1" applyProtection="1">
      <alignment horizontal="left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" fontId="4" fillId="0" borderId="0" xfId="0" quotePrefix="1" applyNumberFormat="1" applyFont="1" applyAlignment="1" applyProtection="1">
      <alignment horizontal="center" vertical="center"/>
      <protection hidden="1"/>
    </xf>
    <xf numFmtId="165" fontId="4" fillId="0" borderId="0" xfId="0" applyNumberFormat="1" applyFont="1" applyAlignment="1" applyProtection="1">
      <alignment horizontal="center" vertical="center"/>
      <protection hidden="1"/>
    </xf>
    <xf numFmtId="165" fontId="4" fillId="0" borderId="0" xfId="0" quotePrefix="1" applyNumberFormat="1" applyFont="1" applyAlignment="1" applyProtection="1">
      <alignment horizontal="center" vertical="center"/>
      <protection hidden="1"/>
    </xf>
    <xf numFmtId="0" fontId="4" fillId="0" borderId="0" xfId="0" quotePrefix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8" fillId="0" borderId="7" xfId="0" applyFont="1" applyBorder="1" applyAlignment="1">
      <alignment horizontal="center" vertical="center" wrapText="1"/>
    </xf>
    <xf numFmtId="0" fontId="49" fillId="0" borderId="7" xfId="0" quotePrefix="1" applyFont="1" applyBorder="1" applyAlignment="1" applyProtection="1">
      <alignment horizontal="center" vertical="center"/>
      <protection hidden="1"/>
    </xf>
    <xf numFmtId="0" fontId="5" fillId="0" borderId="24" xfId="0" applyFont="1" applyBorder="1" applyAlignment="1" applyProtection="1">
      <alignment horizontal="left" vertical="center"/>
      <protection hidden="1"/>
    </xf>
    <xf numFmtId="0" fontId="5" fillId="0" borderId="23" xfId="0" applyFont="1" applyBorder="1" applyAlignment="1" applyProtection="1">
      <alignment vertical="center"/>
      <protection hidden="1"/>
    </xf>
    <xf numFmtId="0" fontId="0" fillId="0" borderId="7" xfId="0" applyBorder="1"/>
    <xf numFmtId="0" fontId="4" fillId="0" borderId="7" xfId="0" applyFont="1" applyBorder="1"/>
    <xf numFmtId="0" fontId="7" fillId="0" borderId="7" xfId="0" applyFont="1" applyBorder="1"/>
    <xf numFmtId="0" fontId="7" fillId="0" borderId="23" xfId="0" applyFont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left" vertical="center"/>
      <protection hidden="1"/>
    </xf>
    <xf numFmtId="1" fontId="2" fillId="0" borderId="7" xfId="1996" applyNumberFormat="1" applyFill="1" applyBorder="1" applyAlignment="1" applyProtection="1">
      <alignment horizontal="left"/>
      <protection hidden="1"/>
    </xf>
    <xf numFmtId="164" fontId="2" fillId="0" borderId="7" xfId="1996" applyNumberFormat="1" applyFill="1" applyBorder="1" applyAlignment="1" applyProtection="1">
      <alignment horizontal="center" vertical="center"/>
      <protection hidden="1"/>
    </xf>
    <xf numFmtId="0" fontId="5" fillId="0" borderId="0" xfId="0" applyFont="1"/>
    <xf numFmtId="0" fontId="52" fillId="0" borderId="0" xfId="0" applyFont="1" applyAlignment="1">
      <alignment wrapText="1"/>
    </xf>
    <xf numFmtId="0" fontId="0" fillId="0" borderId="0" xfId="0" applyAlignment="1">
      <alignment wrapText="1"/>
    </xf>
    <xf numFmtId="0" fontId="7" fillId="30" borderId="0" xfId="0" applyFont="1" applyFill="1" applyAlignment="1">
      <alignment wrapText="1"/>
    </xf>
    <xf numFmtId="0" fontId="51" fillId="29" borderId="11" xfId="0" applyFont="1" applyFill="1" applyBorder="1" applyAlignment="1">
      <alignment horizontal="left" vertical="center"/>
    </xf>
    <xf numFmtId="168" fontId="4" fillId="0" borderId="7" xfId="0" applyNumberFormat="1" applyFont="1" applyBorder="1"/>
    <xf numFmtId="1" fontId="0" fillId="0" borderId="7" xfId="0" applyNumberFormat="1" applyBorder="1" applyAlignment="1">
      <alignment horizontal="left"/>
    </xf>
    <xf numFmtId="0" fontId="4" fillId="0" borderId="0" xfId="0" applyFont="1" applyAlignment="1">
      <alignment wrapText="1"/>
    </xf>
    <xf numFmtId="0" fontId="7" fillId="0" borderId="0" xfId="0" applyFont="1" applyAlignment="1" applyProtection="1">
      <alignment horizontal="center" vertical="center" textRotation="90"/>
      <protection hidden="1"/>
    </xf>
    <xf numFmtId="0" fontId="9" fillId="0" borderId="0" xfId="0" applyFont="1" applyAlignment="1">
      <alignment horizontal="center"/>
    </xf>
    <xf numFmtId="0" fontId="4" fillId="0" borderId="7" xfId="0" quotePrefix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left" vertical="center"/>
    </xf>
    <xf numFmtId="0" fontId="50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29" fillId="0" borderId="7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16" fontId="42" fillId="0" borderId="0" xfId="1585" applyNumberFormat="1" applyFont="1" applyAlignment="1">
      <alignment horizontal="center" vertical="center"/>
    </xf>
    <xf numFmtId="0" fontId="2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7" xfId="0" applyBorder="1" applyAlignment="1">
      <alignment horizontal="center" vertical="center" wrapText="1"/>
    </xf>
    <xf numFmtId="165" fontId="42" fillId="0" borderId="0" xfId="0" applyNumberFormat="1" applyFont="1" applyAlignment="1">
      <alignment vertical="center"/>
    </xf>
    <xf numFmtId="165" fontId="4" fillId="0" borderId="7" xfId="0" applyNumberFormat="1" applyFont="1" applyBorder="1" applyAlignment="1">
      <alignment horizontal="center" vertical="center"/>
    </xf>
    <xf numFmtId="167" fontId="42" fillId="0" borderId="0" xfId="0" applyNumberFormat="1" applyFont="1" applyAlignment="1">
      <alignment vertical="center"/>
    </xf>
    <xf numFmtId="1" fontId="4" fillId="0" borderId="7" xfId="0" quotePrefix="1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left" vertical="center"/>
    </xf>
    <xf numFmtId="166" fontId="42" fillId="0" borderId="0" xfId="0" applyNumberFormat="1" applyFont="1" applyAlignment="1">
      <alignment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7" xfId="0" quotePrefix="1" applyNumberFormat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28" fillId="0" borderId="0" xfId="0" applyFont="1"/>
    <xf numFmtId="0" fontId="40" fillId="28" borderId="7" xfId="1997" applyFont="1" applyFill="1" applyBorder="1" applyAlignment="1" applyProtection="1">
      <alignment horizontal="left" vertical="center"/>
      <protection hidden="1"/>
    </xf>
    <xf numFmtId="0" fontId="1" fillId="28" borderId="7" xfId="1997" quotePrefix="1" applyFont="1" applyFill="1" applyBorder="1" applyAlignment="1" applyProtection="1">
      <alignment horizontal="center" vertical="center"/>
      <protection hidden="1"/>
    </xf>
    <xf numFmtId="0" fontId="2" fillId="28" borderId="7" xfId="1997" applyFill="1" applyBorder="1" applyAlignment="1" applyProtection="1">
      <alignment horizontal="center" vertical="center" wrapText="1"/>
    </xf>
    <xf numFmtId="0" fontId="2" fillId="28" borderId="7" xfId="1997" applyFill="1" applyBorder="1" applyAlignment="1" applyProtection="1">
      <alignment horizontal="center" vertical="center"/>
      <protection hidden="1"/>
    </xf>
    <xf numFmtId="0" fontId="1" fillId="0" borderId="7" xfId="1997" quotePrefix="1" applyFont="1" applyFill="1" applyBorder="1" applyAlignment="1" applyProtection="1">
      <alignment horizontal="center" vertical="center"/>
      <protection hidden="1"/>
    </xf>
    <xf numFmtId="0" fontId="46" fillId="0" borderId="7" xfId="0" applyFont="1" applyBorder="1" applyAlignment="1">
      <alignment horizontal="center"/>
    </xf>
    <xf numFmtId="0" fontId="49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165" fontId="47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/>
    </xf>
    <xf numFmtId="2" fontId="0" fillId="0" borderId="0" xfId="0" applyNumberFormat="1" applyAlignment="1">
      <alignment vertical="center"/>
    </xf>
    <xf numFmtId="0" fontId="7" fillId="0" borderId="7" xfId="0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165" fontId="14" fillId="0" borderId="7" xfId="0" applyNumberFormat="1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" fontId="4" fillId="0" borderId="7" xfId="0" applyNumberFormat="1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8" xfId="0" applyFont="1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12" fillId="0" borderId="12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165" fontId="0" fillId="0" borderId="0" xfId="0" applyNumberFormat="1" applyAlignment="1">
      <alignment horizontal="center"/>
    </xf>
    <xf numFmtId="16" fontId="0" fillId="0" borderId="0" xfId="0" applyNumberFormat="1" applyAlignment="1">
      <alignment vertical="center"/>
    </xf>
    <xf numFmtId="16" fontId="0" fillId="0" borderId="0" xfId="0" applyNumberFormat="1" applyAlignment="1">
      <alignment horizontal="right" vertical="center"/>
    </xf>
    <xf numFmtId="1" fontId="0" fillId="0" borderId="0" xfId="0" applyNumberFormat="1" applyAlignment="1">
      <alignment vertical="center"/>
    </xf>
    <xf numFmtId="0" fontId="0" fillId="0" borderId="15" xfId="0" applyBorder="1" applyAlignment="1">
      <alignment vertical="center"/>
    </xf>
    <xf numFmtId="0" fontId="7" fillId="0" borderId="0" xfId="0" applyFont="1" applyAlignment="1">
      <alignment horizontal="center" textRotation="90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17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3" fillId="0" borderId="0" xfId="0" applyFont="1" applyAlignment="1" applyProtection="1">
      <alignment horizontal="center"/>
      <protection hidden="1"/>
    </xf>
    <xf numFmtId="0" fontId="13" fillId="0" borderId="0" xfId="0" applyFont="1" applyAlignment="1">
      <alignment horizontal="center"/>
    </xf>
    <xf numFmtId="16" fontId="7" fillId="0" borderId="0" xfId="0" applyNumberFormat="1" applyFont="1"/>
    <xf numFmtId="0" fontId="7" fillId="0" borderId="13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1" fontId="7" fillId="0" borderId="0" xfId="0" applyNumberFormat="1" applyFont="1" applyAlignment="1">
      <alignment vertical="center"/>
    </xf>
    <xf numFmtId="1" fontId="7" fillId="0" borderId="16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 applyProtection="1">
      <alignment vertical="center" wrapText="1"/>
      <protection hidden="1"/>
    </xf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0" fontId="13" fillId="0" borderId="0" xfId="0" applyFont="1"/>
    <xf numFmtId="0" fontId="13" fillId="0" borderId="7" xfId="0" applyFont="1" applyBorder="1"/>
    <xf numFmtId="165" fontId="4" fillId="0" borderId="0" xfId="0" applyNumberFormat="1" applyFont="1" applyAlignment="1">
      <alignment vertical="center"/>
    </xf>
    <xf numFmtId="0" fontId="4" fillId="0" borderId="7" xfId="0" applyFont="1" applyBorder="1" applyAlignment="1" applyProtection="1">
      <alignment horizontal="center"/>
      <protection hidden="1"/>
    </xf>
    <xf numFmtId="0" fontId="13" fillId="0" borderId="7" xfId="0" applyFont="1" applyBorder="1" applyAlignment="1">
      <alignment horizontal="center"/>
    </xf>
    <xf numFmtId="2" fontId="13" fillId="0" borderId="0" xfId="0" applyNumberFormat="1" applyFont="1" applyAlignment="1">
      <alignment horizontal="center"/>
    </xf>
  </cellXfs>
  <cellStyles count="1998">
    <cellStyle name="20% - Accent1 2" xfId="1" xr:uid="{00000000-0005-0000-0000-000000000000}"/>
    <cellStyle name="20% - Accent1 2 10" xfId="2" xr:uid="{00000000-0005-0000-0000-000001000000}"/>
    <cellStyle name="20% - Accent1 2 11" xfId="3" xr:uid="{00000000-0005-0000-0000-000002000000}"/>
    <cellStyle name="20% - Accent1 2 12" xfId="4" xr:uid="{00000000-0005-0000-0000-000003000000}"/>
    <cellStyle name="20% - Accent1 2 13" xfId="5" xr:uid="{00000000-0005-0000-0000-000004000000}"/>
    <cellStyle name="20% - Accent1 2 14" xfId="6" xr:uid="{00000000-0005-0000-0000-000005000000}"/>
    <cellStyle name="20% - Accent1 2 15" xfId="7" xr:uid="{00000000-0005-0000-0000-000006000000}"/>
    <cellStyle name="20% - Accent1 2 16" xfId="8" xr:uid="{00000000-0005-0000-0000-000007000000}"/>
    <cellStyle name="20% - Accent1 2 17" xfId="9" xr:uid="{00000000-0005-0000-0000-000008000000}"/>
    <cellStyle name="20% - Accent1 2 18" xfId="10" xr:uid="{00000000-0005-0000-0000-000009000000}"/>
    <cellStyle name="20% - Accent1 2 19" xfId="11" xr:uid="{00000000-0005-0000-0000-00000A000000}"/>
    <cellStyle name="20% - Accent1 2 2" xfId="12" xr:uid="{00000000-0005-0000-0000-00000B000000}"/>
    <cellStyle name="20% - Accent1 2 20" xfId="13" xr:uid="{00000000-0005-0000-0000-00000C000000}"/>
    <cellStyle name="20% - Accent1 2 21" xfId="14" xr:uid="{00000000-0005-0000-0000-00000D000000}"/>
    <cellStyle name="20% - Accent1 2 22" xfId="15" xr:uid="{00000000-0005-0000-0000-00000E000000}"/>
    <cellStyle name="20% - Accent1 2 23" xfId="16" xr:uid="{00000000-0005-0000-0000-00000F000000}"/>
    <cellStyle name="20% - Accent1 2 24" xfId="17" xr:uid="{00000000-0005-0000-0000-000010000000}"/>
    <cellStyle name="20% - Accent1 2 25" xfId="18" xr:uid="{00000000-0005-0000-0000-000011000000}"/>
    <cellStyle name="20% - Accent1 2 26" xfId="19" xr:uid="{00000000-0005-0000-0000-000012000000}"/>
    <cellStyle name="20% - Accent1 2 27" xfId="20" xr:uid="{00000000-0005-0000-0000-000013000000}"/>
    <cellStyle name="20% - Accent1 2 28" xfId="21" xr:uid="{00000000-0005-0000-0000-000014000000}"/>
    <cellStyle name="20% - Accent1 2 29" xfId="22" xr:uid="{00000000-0005-0000-0000-000015000000}"/>
    <cellStyle name="20% - Accent1 2 3" xfId="23" xr:uid="{00000000-0005-0000-0000-000016000000}"/>
    <cellStyle name="20% - Accent1 2 30" xfId="24" xr:uid="{00000000-0005-0000-0000-000017000000}"/>
    <cellStyle name="20% - Accent1 2 31" xfId="25" xr:uid="{00000000-0005-0000-0000-000018000000}"/>
    <cellStyle name="20% - Accent1 2 32" xfId="26" xr:uid="{00000000-0005-0000-0000-000019000000}"/>
    <cellStyle name="20% - Accent1 2 33" xfId="27" xr:uid="{00000000-0005-0000-0000-00001A000000}"/>
    <cellStyle name="20% - Accent1 2 34" xfId="28" xr:uid="{00000000-0005-0000-0000-00001B000000}"/>
    <cellStyle name="20% - Accent1 2 35" xfId="29" xr:uid="{00000000-0005-0000-0000-00001C000000}"/>
    <cellStyle name="20% - Accent1 2 36" xfId="30" xr:uid="{00000000-0005-0000-0000-00001D000000}"/>
    <cellStyle name="20% - Accent1 2 37" xfId="31" xr:uid="{00000000-0005-0000-0000-00001E000000}"/>
    <cellStyle name="20% - Accent1 2 38" xfId="32" xr:uid="{00000000-0005-0000-0000-00001F000000}"/>
    <cellStyle name="20% - Accent1 2 39" xfId="33" xr:uid="{00000000-0005-0000-0000-000020000000}"/>
    <cellStyle name="20% - Accent1 2 4" xfId="34" xr:uid="{00000000-0005-0000-0000-000021000000}"/>
    <cellStyle name="20% - Accent1 2 40" xfId="35" xr:uid="{00000000-0005-0000-0000-000022000000}"/>
    <cellStyle name="20% - Accent1 2 41" xfId="36" xr:uid="{00000000-0005-0000-0000-000023000000}"/>
    <cellStyle name="20% - Accent1 2 42" xfId="37" xr:uid="{00000000-0005-0000-0000-000024000000}"/>
    <cellStyle name="20% - Accent1 2 43" xfId="38" xr:uid="{00000000-0005-0000-0000-000025000000}"/>
    <cellStyle name="20% - Accent1 2 44" xfId="39" xr:uid="{00000000-0005-0000-0000-000026000000}"/>
    <cellStyle name="20% - Accent1 2 45" xfId="40" xr:uid="{00000000-0005-0000-0000-000027000000}"/>
    <cellStyle name="20% - Accent1 2 46" xfId="41" xr:uid="{00000000-0005-0000-0000-000028000000}"/>
    <cellStyle name="20% - Accent1 2 47" xfId="42" xr:uid="{00000000-0005-0000-0000-000029000000}"/>
    <cellStyle name="20% - Accent1 2 48" xfId="43" xr:uid="{00000000-0005-0000-0000-00002A000000}"/>
    <cellStyle name="20% - Accent1 2 49" xfId="44" xr:uid="{00000000-0005-0000-0000-00002B000000}"/>
    <cellStyle name="20% - Accent1 2 5" xfId="45" xr:uid="{00000000-0005-0000-0000-00002C000000}"/>
    <cellStyle name="20% - Accent1 2 6" xfId="46" xr:uid="{00000000-0005-0000-0000-00002D000000}"/>
    <cellStyle name="20% - Accent1 2 7" xfId="47" xr:uid="{00000000-0005-0000-0000-00002E000000}"/>
    <cellStyle name="20% - Accent1 2 8" xfId="48" xr:uid="{00000000-0005-0000-0000-00002F000000}"/>
    <cellStyle name="20% - Accent1 2 9" xfId="49" xr:uid="{00000000-0005-0000-0000-000030000000}"/>
    <cellStyle name="20% - Accent2 2" xfId="50" xr:uid="{00000000-0005-0000-0000-000031000000}"/>
    <cellStyle name="20% - Accent2 2 10" xfId="51" xr:uid="{00000000-0005-0000-0000-000032000000}"/>
    <cellStyle name="20% - Accent2 2 11" xfId="52" xr:uid="{00000000-0005-0000-0000-000033000000}"/>
    <cellStyle name="20% - Accent2 2 12" xfId="53" xr:uid="{00000000-0005-0000-0000-000034000000}"/>
    <cellStyle name="20% - Accent2 2 13" xfId="54" xr:uid="{00000000-0005-0000-0000-000035000000}"/>
    <cellStyle name="20% - Accent2 2 14" xfId="55" xr:uid="{00000000-0005-0000-0000-000036000000}"/>
    <cellStyle name="20% - Accent2 2 15" xfId="56" xr:uid="{00000000-0005-0000-0000-000037000000}"/>
    <cellStyle name="20% - Accent2 2 16" xfId="57" xr:uid="{00000000-0005-0000-0000-000038000000}"/>
    <cellStyle name="20% - Accent2 2 17" xfId="58" xr:uid="{00000000-0005-0000-0000-000039000000}"/>
    <cellStyle name="20% - Accent2 2 18" xfId="59" xr:uid="{00000000-0005-0000-0000-00003A000000}"/>
    <cellStyle name="20% - Accent2 2 19" xfId="60" xr:uid="{00000000-0005-0000-0000-00003B000000}"/>
    <cellStyle name="20% - Accent2 2 2" xfId="61" xr:uid="{00000000-0005-0000-0000-00003C000000}"/>
    <cellStyle name="20% - Accent2 2 20" xfId="62" xr:uid="{00000000-0005-0000-0000-00003D000000}"/>
    <cellStyle name="20% - Accent2 2 21" xfId="63" xr:uid="{00000000-0005-0000-0000-00003E000000}"/>
    <cellStyle name="20% - Accent2 2 22" xfId="64" xr:uid="{00000000-0005-0000-0000-00003F000000}"/>
    <cellStyle name="20% - Accent2 2 23" xfId="65" xr:uid="{00000000-0005-0000-0000-000040000000}"/>
    <cellStyle name="20% - Accent2 2 24" xfId="66" xr:uid="{00000000-0005-0000-0000-000041000000}"/>
    <cellStyle name="20% - Accent2 2 25" xfId="67" xr:uid="{00000000-0005-0000-0000-000042000000}"/>
    <cellStyle name="20% - Accent2 2 26" xfId="68" xr:uid="{00000000-0005-0000-0000-000043000000}"/>
    <cellStyle name="20% - Accent2 2 27" xfId="69" xr:uid="{00000000-0005-0000-0000-000044000000}"/>
    <cellStyle name="20% - Accent2 2 28" xfId="70" xr:uid="{00000000-0005-0000-0000-000045000000}"/>
    <cellStyle name="20% - Accent2 2 29" xfId="71" xr:uid="{00000000-0005-0000-0000-000046000000}"/>
    <cellStyle name="20% - Accent2 2 3" xfId="72" xr:uid="{00000000-0005-0000-0000-000047000000}"/>
    <cellStyle name="20% - Accent2 2 30" xfId="73" xr:uid="{00000000-0005-0000-0000-000048000000}"/>
    <cellStyle name="20% - Accent2 2 31" xfId="74" xr:uid="{00000000-0005-0000-0000-000049000000}"/>
    <cellStyle name="20% - Accent2 2 32" xfId="75" xr:uid="{00000000-0005-0000-0000-00004A000000}"/>
    <cellStyle name="20% - Accent2 2 33" xfId="76" xr:uid="{00000000-0005-0000-0000-00004B000000}"/>
    <cellStyle name="20% - Accent2 2 34" xfId="77" xr:uid="{00000000-0005-0000-0000-00004C000000}"/>
    <cellStyle name="20% - Accent2 2 35" xfId="78" xr:uid="{00000000-0005-0000-0000-00004D000000}"/>
    <cellStyle name="20% - Accent2 2 36" xfId="79" xr:uid="{00000000-0005-0000-0000-00004E000000}"/>
    <cellStyle name="20% - Accent2 2 37" xfId="80" xr:uid="{00000000-0005-0000-0000-00004F000000}"/>
    <cellStyle name="20% - Accent2 2 38" xfId="81" xr:uid="{00000000-0005-0000-0000-000050000000}"/>
    <cellStyle name="20% - Accent2 2 39" xfId="82" xr:uid="{00000000-0005-0000-0000-000051000000}"/>
    <cellStyle name="20% - Accent2 2 4" xfId="83" xr:uid="{00000000-0005-0000-0000-000052000000}"/>
    <cellStyle name="20% - Accent2 2 40" xfId="84" xr:uid="{00000000-0005-0000-0000-000053000000}"/>
    <cellStyle name="20% - Accent2 2 41" xfId="85" xr:uid="{00000000-0005-0000-0000-000054000000}"/>
    <cellStyle name="20% - Accent2 2 42" xfId="86" xr:uid="{00000000-0005-0000-0000-000055000000}"/>
    <cellStyle name="20% - Accent2 2 43" xfId="87" xr:uid="{00000000-0005-0000-0000-000056000000}"/>
    <cellStyle name="20% - Accent2 2 44" xfId="88" xr:uid="{00000000-0005-0000-0000-000057000000}"/>
    <cellStyle name="20% - Accent2 2 45" xfId="89" xr:uid="{00000000-0005-0000-0000-000058000000}"/>
    <cellStyle name="20% - Accent2 2 46" xfId="90" xr:uid="{00000000-0005-0000-0000-000059000000}"/>
    <cellStyle name="20% - Accent2 2 47" xfId="91" xr:uid="{00000000-0005-0000-0000-00005A000000}"/>
    <cellStyle name="20% - Accent2 2 48" xfId="92" xr:uid="{00000000-0005-0000-0000-00005B000000}"/>
    <cellStyle name="20% - Accent2 2 49" xfId="93" xr:uid="{00000000-0005-0000-0000-00005C000000}"/>
    <cellStyle name="20% - Accent2 2 5" xfId="94" xr:uid="{00000000-0005-0000-0000-00005D000000}"/>
    <cellStyle name="20% - Accent2 2 6" xfId="95" xr:uid="{00000000-0005-0000-0000-00005E000000}"/>
    <cellStyle name="20% - Accent2 2 7" xfId="96" xr:uid="{00000000-0005-0000-0000-00005F000000}"/>
    <cellStyle name="20% - Accent2 2 8" xfId="97" xr:uid="{00000000-0005-0000-0000-000060000000}"/>
    <cellStyle name="20% - Accent2 2 9" xfId="98" xr:uid="{00000000-0005-0000-0000-000061000000}"/>
    <cellStyle name="20% - Accent3" xfId="1996" builtinId="38"/>
    <cellStyle name="20% - Accent3 2" xfId="99" xr:uid="{00000000-0005-0000-0000-000062000000}"/>
    <cellStyle name="20% - Accent3 2 10" xfId="100" xr:uid="{00000000-0005-0000-0000-000063000000}"/>
    <cellStyle name="20% - Accent3 2 11" xfId="101" xr:uid="{00000000-0005-0000-0000-000064000000}"/>
    <cellStyle name="20% - Accent3 2 12" xfId="102" xr:uid="{00000000-0005-0000-0000-000065000000}"/>
    <cellStyle name="20% - Accent3 2 13" xfId="103" xr:uid="{00000000-0005-0000-0000-000066000000}"/>
    <cellStyle name="20% - Accent3 2 14" xfId="104" xr:uid="{00000000-0005-0000-0000-000067000000}"/>
    <cellStyle name="20% - Accent3 2 15" xfId="105" xr:uid="{00000000-0005-0000-0000-000068000000}"/>
    <cellStyle name="20% - Accent3 2 16" xfId="106" xr:uid="{00000000-0005-0000-0000-000069000000}"/>
    <cellStyle name="20% - Accent3 2 17" xfId="107" xr:uid="{00000000-0005-0000-0000-00006A000000}"/>
    <cellStyle name="20% - Accent3 2 18" xfId="108" xr:uid="{00000000-0005-0000-0000-00006B000000}"/>
    <cellStyle name="20% - Accent3 2 19" xfId="109" xr:uid="{00000000-0005-0000-0000-00006C000000}"/>
    <cellStyle name="20% - Accent3 2 2" xfId="110" xr:uid="{00000000-0005-0000-0000-00006D000000}"/>
    <cellStyle name="20% - Accent3 2 20" xfId="111" xr:uid="{00000000-0005-0000-0000-00006E000000}"/>
    <cellStyle name="20% - Accent3 2 21" xfId="112" xr:uid="{00000000-0005-0000-0000-00006F000000}"/>
    <cellStyle name="20% - Accent3 2 22" xfId="113" xr:uid="{00000000-0005-0000-0000-000070000000}"/>
    <cellStyle name="20% - Accent3 2 23" xfId="114" xr:uid="{00000000-0005-0000-0000-000071000000}"/>
    <cellStyle name="20% - Accent3 2 24" xfId="115" xr:uid="{00000000-0005-0000-0000-000072000000}"/>
    <cellStyle name="20% - Accent3 2 25" xfId="116" xr:uid="{00000000-0005-0000-0000-000073000000}"/>
    <cellStyle name="20% - Accent3 2 26" xfId="117" xr:uid="{00000000-0005-0000-0000-000074000000}"/>
    <cellStyle name="20% - Accent3 2 27" xfId="118" xr:uid="{00000000-0005-0000-0000-000075000000}"/>
    <cellStyle name="20% - Accent3 2 28" xfId="119" xr:uid="{00000000-0005-0000-0000-000076000000}"/>
    <cellStyle name="20% - Accent3 2 29" xfId="120" xr:uid="{00000000-0005-0000-0000-000077000000}"/>
    <cellStyle name="20% - Accent3 2 3" xfId="121" xr:uid="{00000000-0005-0000-0000-000078000000}"/>
    <cellStyle name="20% - Accent3 2 30" xfId="122" xr:uid="{00000000-0005-0000-0000-000079000000}"/>
    <cellStyle name="20% - Accent3 2 31" xfId="123" xr:uid="{00000000-0005-0000-0000-00007A000000}"/>
    <cellStyle name="20% - Accent3 2 32" xfId="124" xr:uid="{00000000-0005-0000-0000-00007B000000}"/>
    <cellStyle name="20% - Accent3 2 33" xfId="125" xr:uid="{00000000-0005-0000-0000-00007C000000}"/>
    <cellStyle name="20% - Accent3 2 34" xfId="126" xr:uid="{00000000-0005-0000-0000-00007D000000}"/>
    <cellStyle name="20% - Accent3 2 35" xfId="127" xr:uid="{00000000-0005-0000-0000-00007E000000}"/>
    <cellStyle name="20% - Accent3 2 36" xfId="128" xr:uid="{00000000-0005-0000-0000-00007F000000}"/>
    <cellStyle name="20% - Accent3 2 37" xfId="129" xr:uid="{00000000-0005-0000-0000-000080000000}"/>
    <cellStyle name="20% - Accent3 2 38" xfId="130" xr:uid="{00000000-0005-0000-0000-000081000000}"/>
    <cellStyle name="20% - Accent3 2 39" xfId="131" xr:uid="{00000000-0005-0000-0000-000082000000}"/>
    <cellStyle name="20% - Accent3 2 4" xfId="132" xr:uid="{00000000-0005-0000-0000-000083000000}"/>
    <cellStyle name="20% - Accent3 2 40" xfId="133" xr:uid="{00000000-0005-0000-0000-000084000000}"/>
    <cellStyle name="20% - Accent3 2 41" xfId="134" xr:uid="{00000000-0005-0000-0000-000085000000}"/>
    <cellStyle name="20% - Accent3 2 42" xfId="135" xr:uid="{00000000-0005-0000-0000-000086000000}"/>
    <cellStyle name="20% - Accent3 2 43" xfId="136" xr:uid="{00000000-0005-0000-0000-000087000000}"/>
    <cellStyle name="20% - Accent3 2 44" xfId="137" xr:uid="{00000000-0005-0000-0000-000088000000}"/>
    <cellStyle name="20% - Accent3 2 45" xfId="138" xr:uid="{00000000-0005-0000-0000-000089000000}"/>
    <cellStyle name="20% - Accent3 2 46" xfId="139" xr:uid="{00000000-0005-0000-0000-00008A000000}"/>
    <cellStyle name="20% - Accent3 2 47" xfId="140" xr:uid="{00000000-0005-0000-0000-00008B000000}"/>
    <cellStyle name="20% - Accent3 2 48" xfId="141" xr:uid="{00000000-0005-0000-0000-00008C000000}"/>
    <cellStyle name="20% - Accent3 2 49" xfId="142" xr:uid="{00000000-0005-0000-0000-00008D000000}"/>
    <cellStyle name="20% - Accent3 2 5" xfId="143" xr:uid="{00000000-0005-0000-0000-00008E000000}"/>
    <cellStyle name="20% - Accent3 2 6" xfId="144" xr:uid="{00000000-0005-0000-0000-00008F000000}"/>
    <cellStyle name="20% - Accent3 2 7" xfId="145" xr:uid="{00000000-0005-0000-0000-000090000000}"/>
    <cellStyle name="20% - Accent3 2 8" xfId="146" xr:uid="{00000000-0005-0000-0000-000091000000}"/>
    <cellStyle name="20% - Accent3 2 9" xfId="147" xr:uid="{00000000-0005-0000-0000-000092000000}"/>
    <cellStyle name="20% - Accent4 2" xfId="148" xr:uid="{00000000-0005-0000-0000-000093000000}"/>
    <cellStyle name="20% - Accent4 2 10" xfId="149" xr:uid="{00000000-0005-0000-0000-000094000000}"/>
    <cellStyle name="20% - Accent4 2 11" xfId="150" xr:uid="{00000000-0005-0000-0000-000095000000}"/>
    <cellStyle name="20% - Accent4 2 12" xfId="151" xr:uid="{00000000-0005-0000-0000-000096000000}"/>
    <cellStyle name="20% - Accent4 2 13" xfId="152" xr:uid="{00000000-0005-0000-0000-000097000000}"/>
    <cellStyle name="20% - Accent4 2 14" xfId="153" xr:uid="{00000000-0005-0000-0000-000098000000}"/>
    <cellStyle name="20% - Accent4 2 15" xfId="154" xr:uid="{00000000-0005-0000-0000-000099000000}"/>
    <cellStyle name="20% - Accent4 2 16" xfId="155" xr:uid="{00000000-0005-0000-0000-00009A000000}"/>
    <cellStyle name="20% - Accent4 2 17" xfId="156" xr:uid="{00000000-0005-0000-0000-00009B000000}"/>
    <cellStyle name="20% - Accent4 2 18" xfId="157" xr:uid="{00000000-0005-0000-0000-00009C000000}"/>
    <cellStyle name="20% - Accent4 2 19" xfId="158" xr:uid="{00000000-0005-0000-0000-00009D000000}"/>
    <cellStyle name="20% - Accent4 2 2" xfId="159" xr:uid="{00000000-0005-0000-0000-00009E000000}"/>
    <cellStyle name="20% - Accent4 2 20" xfId="160" xr:uid="{00000000-0005-0000-0000-00009F000000}"/>
    <cellStyle name="20% - Accent4 2 21" xfId="161" xr:uid="{00000000-0005-0000-0000-0000A0000000}"/>
    <cellStyle name="20% - Accent4 2 22" xfId="162" xr:uid="{00000000-0005-0000-0000-0000A1000000}"/>
    <cellStyle name="20% - Accent4 2 23" xfId="163" xr:uid="{00000000-0005-0000-0000-0000A2000000}"/>
    <cellStyle name="20% - Accent4 2 24" xfId="164" xr:uid="{00000000-0005-0000-0000-0000A3000000}"/>
    <cellStyle name="20% - Accent4 2 25" xfId="165" xr:uid="{00000000-0005-0000-0000-0000A4000000}"/>
    <cellStyle name="20% - Accent4 2 26" xfId="166" xr:uid="{00000000-0005-0000-0000-0000A5000000}"/>
    <cellStyle name="20% - Accent4 2 27" xfId="167" xr:uid="{00000000-0005-0000-0000-0000A6000000}"/>
    <cellStyle name="20% - Accent4 2 28" xfId="168" xr:uid="{00000000-0005-0000-0000-0000A7000000}"/>
    <cellStyle name="20% - Accent4 2 29" xfId="169" xr:uid="{00000000-0005-0000-0000-0000A8000000}"/>
    <cellStyle name="20% - Accent4 2 3" xfId="170" xr:uid="{00000000-0005-0000-0000-0000A9000000}"/>
    <cellStyle name="20% - Accent4 2 30" xfId="171" xr:uid="{00000000-0005-0000-0000-0000AA000000}"/>
    <cellStyle name="20% - Accent4 2 31" xfId="172" xr:uid="{00000000-0005-0000-0000-0000AB000000}"/>
    <cellStyle name="20% - Accent4 2 32" xfId="173" xr:uid="{00000000-0005-0000-0000-0000AC000000}"/>
    <cellStyle name="20% - Accent4 2 33" xfId="174" xr:uid="{00000000-0005-0000-0000-0000AD000000}"/>
    <cellStyle name="20% - Accent4 2 34" xfId="175" xr:uid="{00000000-0005-0000-0000-0000AE000000}"/>
    <cellStyle name="20% - Accent4 2 35" xfId="176" xr:uid="{00000000-0005-0000-0000-0000AF000000}"/>
    <cellStyle name="20% - Accent4 2 36" xfId="177" xr:uid="{00000000-0005-0000-0000-0000B0000000}"/>
    <cellStyle name="20% - Accent4 2 37" xfId="178" xr:uid="{00000000-0005-0000-0000-0000B1000000}"/>
    <cellStyle name="20% - Accent4 2 38" xfId="179" xr:uid="{00000000-0005-0000-0000-0000B2000000}"/>
    <cellStyle name="20% - Accent4 2 39" xfId="180" xr:uid="{00000000-0005-0000-0000-0000B3000000}"/>
    <cellStyle name="20% - Accent4 2 4" xfId="181" xr:uid="{00000000-0005-0000-0000-0000B4000000}"/>
    <cellStyle name="20% - Accent4 2 40" xfId="182" xr:uid="{00000000-0005-0000-0000-0000B5000000}"/>
    <cellStyle name="20% - Accent4 2 41" xfId="183" xr:uid="{00000000-0005-0000-0000-0000B6000000}"/>
    <cellStyle name="20% - Accent4 2 42" xfId="184" xr:uid="{00000000-0005-0000-0000-0000B7000000}"/>
    <cellStyle name="20% - Accent4 2 43" xfId="185" xr:uid="{00000000-0005-0000-0000-0000B8000000}"/>
    <cellStyle name="20% - Accent4 2 44" xfId="186" xr:uid="{00000000-0005-0000-0000-0000B9000000}"/>
    <cellStyle name="20% - Accent4 2 45" xfId="187" xr:uid="{00000000-0005-0000-0000-0000BA000000}"/>
    <cellStyle name="20% - Accent4 2 46" xfId="188" xr:uid="{00000000-0005-0000-0000-0000BB000000}"/>
    <cellStyle name="20% - Accent4 2 47" xfId="189" xr:uid="{00000000-0005-0000-0000-0000BC000000}"/>
    <cellStyle name="20% - Accent4 2 48" xfId="190" xr:uid="{00000000-0005-0000-0000-0000BD000000}"/>
    <cellStyle name="20% - Accent4 2 49" xfId="191" xr:uid="{00000000-0005-0000-0000-0000BE000000}"/>
    <cellStyle name="20% - Accent4 2 5" xfId="192" xr:uid="{00000000-0005-0000-0000-0000BF000000}"/>
    <cellStyle name="20% - Accent4 2 6" xfId="193" xr:uid="{00000000-0005-0000-0000-0000C0000000}"/>
    <cellStyle name="20% - Accent4 2 7" xfId="194" xr:uid="{00000000-0005-0000-0000-0000C1000000}"/>
    <cellStyle name="20% - Accent4 2 8" xfId="195" xr:uid="{00000000-0005-0000-0000-0000C2000000}"/>
    <cellStyle name="20% - Accent4 2 9" xfId="196" xr:uid="{00000000-0005-0000-0000-0000C3000000}"/>
    <cellStyle name="20% - Accent5" xfId="197" builtinId="46" customBuiltin="1"/>
    <cellStyle name="20% - Accent6 2" xfId="198" xr:uid="{00000000-0005-0000-0000-0000C5000000}"/>
    <cellStyle name="20% - Accent6 2 10" xfId="199" xr:uid="{00000000-0005-0000-0000-0000C6000000}"/>
    <cellStyle name="20% - Accent6 2 11" xfId="200" xr:uid="{00000000-0005-0000-0000-0000C7000000}"/>
    <cellStyle name="20% - Accent6 2 12" xfId="201" xr:uid="{00000000-0005-0000-0000-0000C8000000}"/>
    <cellStyle name="20% - Accent6 2 13" xfId="202" xr:uid="{00000000-0005-0000-0000-0000C9000000}"/>
    <cellStyle name="20% - Accent6 2 14" xfId="203" xr:uid="{00000000-0005-0000-0000-0000CA000000}"/>
    <cellStyle name="20% - Accent6 2 15" xfId="204" xr:uid="{00000000-0005-0000-0000-0000CB000000}"/>
    <cellStyle name="20% - Accent6 2 16" xfId="205" xr:uid="{00000000-0005-0000-0000-0000CC000000}"/>
    <cellStyle name="20% - Accent6 2 17" xfId="206" xr:uid="{00000000-0005-0000-0000-0000CD000000}"/>
    <cellStyle name="20% - Accent6 2 18" xfId="207" xr:uid="{00000000-0005-0000-0000-0000CE000000}"/>
    <cellStyle name="20% - Accent6 2 19" xfId="208" xr:uid="{00000000-0005-0000-0000-0000CF000000}"/>
    <cellStyle name="20% - Accent6 2 2" xfId="209" xr:uid="{00000000-0005-0000-0000-0000D0000000}"/>
    <cellStyle name="20% - Accent6 2 20" xfId="210" xr:uid="{00000000-0005-0000-0000-0000D1000000}"/>
    <cellStyle name="20% - Accent6 2 21" xfId="211" xr:uid="{00000000-0005-0000-0000-0000D2000000}"/>
    <cellStyle name="20% - Accent6 2 22" xfId="212" xr:uid="{00000000-0005-0000-0000-0000D3000000}"/>
    <cellStyle name="20% - Accent6 2 23" xfId="213" xr:uid="{00000000-0005-0000-0000-0000D4000000}"/>
    <cellStyle name="20% - Accent6 2 24" xfId="214" xr:uid="{00000000-0005-0000-0000-0000D5000000}"/>
    <cellStyle name="20% - Accent6 2 25" xfId="215" xr:uid="{00000000-0005-0000-0000-0000D6000000}"/>
    <cellStyle name="20% - Accent6 2 26" xfId="216" xr:uid="{00000000-0005-0000-0000-0000D7000000}"/>
    <cellStyle name="20% - Accent6 2 27" xfId="217" xr:uid="{00000000-0005-0000-0000-0000D8000000}"/>
    <cellStyle name="20% - Accent6 2 28" xfId="218" xr:uid="{00000000-0005-0000-0000-0000D9000000}"/>
    <cellStyle name="20% - Accent6 2 29" xfId="219" xr:uid="{00000000-0005-0000-0000-0000DA000000}"/>
    <cellStyle name="20% - Accent6 2 3" xfId="220" xr:uid="{00000000-0005-0000-0000-0000DB000000}"/>
    <cellStyle name="20% - Accent6 2 30" xfId="221" xr:uid="{00000000-0005-0000-0000-0000DC000000}"/>
    <cellStyle name="20% - Accent6 2 31" xfId="222" xr:uid="{00000000-0005-0000-0000-0000DD000000}"/>
    <cellStyle name="20% - Accent6 2 32" xfId="223" xr:uid="{00000000-0005-0000-0000-0000DE000000}"/>
    <cellStyle name="20% - Accent6 2 33" xfId="224" xr:uid="{00000000-0005-0000-0000-0000DF000000}"/>
    <cellStyle name="20% - Accent6 2 34" xfId="225" xr:uid="{00000000-0005-0000-0000-0000E0000000}"/>
    <cellStyle name="20% - Accent6 2 35" xfId="226" xr:uid="{00000000-0005-0000-0000-0000E1000000}"/>
    <cellStyle name="20% - Accent6 2 36" xfId="227" xr:uid="{00000000-0005-0000-0000-0000E2000000}"/>
    <cellStyle name="20% - Accent6 2 37" xfId="228" xr:uid="{00000000-0005-0000-0000-0000E3000000}"/>
    <cellStyle name="20% - Accent6 2 38" xfId="229" xr:uid="{00000000-0005-0000-0000-0000E4000000}"/>
    <cellStyle name="20% - Accent6 2 39" xfId="230" xr:uid="{00000000-0005-0000-0000-0000E5000000}"/>
    <cellStyle name="20% - Accent6 2 4" xfId="231" xr:uid="{00000000-0005-0000-0000-0000E6000000}"/>
    <cellStyle name="20% - Accent6 2 40" xfId="232" xr:uid="{00000000-0005-0000-0000-0000E7000000}"/>
    <cellStyle name="20% - Accent6 2 41" xfId="233" xr:uid="{00000000-0005-0000-0000-0000E8000000}"/>
    <cellStyle name="20% - Accent6 2 42" xfId="234" xr:uid="{00000000-0005-0000-0000-0000E9000000}"/>
    <cellStyle name="20% - Accent6 2 43" xfId="235" xr:uid="{00000000-0005-0000-0000-0000EA000000}"/>
    <cellStyle name="20% - Accent6 2 44" xfId="236" xr:uid="{00000000-0005-0000-0000-0000EB000000}"/>
    <cellStyle name="20% - Accent6 2 45" xfId="237" xr:uid="{00000000-0005-0000-0000-0000EC000000}"/>
    <cellStyle name="20% - Accent6 2 46" xfId="238" xr:uid="{00000000-0005-0000-0000-0000ED000000}"/>
    <cellStyle name="20% - Accent6 2 47" xfId="239" xr:uid="{00000000-0005-0000-0000-0000EE000000}"/>
    <cellStyle name="20% - Accent6 2 48" xfId="240" xr:uid="{00000000-0005-0000-0000-0000EF000000}"/>
    <cellStyle name="20% - Accent6 2 49" xfId="241" xr:uid="{00000000-0005-0000-0000-0000F0000000}"/>
    <cellStyle name="20% - Accent6 2 5" xfId="242" xr:uid="{00000000-0005-0000-0000-0000F1000000}"/>
    <cellStyle name="20% - Accent6 2 6" xfId="243" xr:uid="{00000000-0005-0000-0000-0000F2000000}"/>
    <cellStyle name="20% - Accent6 2 7" xfId="244" xr:uid="{00000000-0005-0000-0000-0000F3000000}"/>
    <cellStyle name="20% - Accent6 2 8" xfId="245" xr:uid="{00000000-0005-0000-0000-0000F4000000}"/>
    <cellStyle name="20% - Accent6 2 9" xfId="246" xr:uid="{00000000-0005-0000-0000-0000F5000000}"/>
    <cellStyle name="40% - Accent1 2" xfId="247" xr:uid="{00000000-0005-0000-0000-0000F6000000}"/>
    <cellStyle name="40% - Accent1 2 10" xfId="248" xr:uid="{00000000-0005-0000-0000-0000F7000000}"/>
    <cellStyle name="40% - Accent1 2 11" xfId="249" xr:uid="{00000000-0005-0000-0000-0000F8000000}"/>
    <cellStyle name="40% - Accent1 2 12" xfId="250" xr:uid="{00000000-0005-0000-0000-0000F9000000}"/>
    <cellStyle name="40% - Accent1 2 13" xfId="251" xr:uid="{00000000-0005-0000-0000-0000FA000000}"/>
    <cellStyle name="40% - Accent1 2 14" xfId="252" xr:uid="{00000000-0005-0000-0000-0000FB000000}"/>
    <cellStyle name="40% - Accent1 2 15" xfId="253" xr:uid="{00000000-0005-0000-0000-0000FC000000}"/>
    <cellStyle name="40% - Accent1 2 16" xfId="254" xr:uid="{00000000-0005-0000-0000-0000FD000000}"/>
    <cellStyle name="40% - Accent1 2 17" xfId="255" xr:uid="{00000000-0005-0000-0000-0000FE000000}"/>
    <cellStyle name="40% - Accent1 2 18" xfId="256" xr:uid="{00000000-0005-0000-0000-0000FF000000}"/>
    <cellStyle name="40% - Accent1 2 19" xfId="257" xr:uid="{00000000-0005-0000-0000-000000010000}"/>
    <cellStyle name="40% - Accent1 2 2" xfId="258" xr:uid="{00000000-0005-0000-0000-000001010000}"/>
    <cellStyle name="40% - Accent1 2 20" xfId="259" xr:uid="{00000000-0005-0000-0000-000002010000}"/>
    <cellStyle name="40% - Accent1 2 21" xfId="260" xr:uid="{00000000-0005-0000-0000-000003010000}"/>
    <cellStyle name="40% - Accent1 2 22" xfId="261" xr:uid="{00000000-0005-0000-0000-000004010000}"/>
    <cellStyle name="40% - Accent1 2 23" xfId="262" xr:uid="{00000000-0005-0000-0000-000005010000}"/>
    <cellStyle name="40% - Accent1 2 24" xfId="263" xr:uid="{00000000-0005-0000-0000-000006010000}"/>
    <cellStyle name="40% - Accent1 2 25" xfId="264" xr:uid="{00000000-0005-0000-0000-000007010000}"/>
    <cellStyle name="40% - Accent1 2 26" xfId="265" xr:uid="{00000000-0005-0000-0000-000008010000}"/>
    <cellStyle name="40% - Accent1 2 27" xfId="266" xr:uid="{00000000-0005-0000-0000-000009010000}"/>
    <cellStyle name="40% - Accent1 2 28" xfId="267" xr:uid="{00000000-0005-0000-0000-00000A010000}"/>
    <cellStyle name="40% - Accent1 2 29" xfId="268" xr:uid="{00000000-0005-0000-0000-00000B010000}"/>
    <cellStyle name="40% - Accent1 2 3" xfId="269" xr:uid="{00000000-0005-0000-0000-00000C010000}"/>
    <cellStyle name="40% - Accent1 2 30" xfId="270" xr:uid="{00000000-0005-0000-0000-00000D010000}"/>
    <cellStyle name="40% - Accent1 2 31" xfId="271" xr:uid="{00000000-0005-0000-0000-00000E010000}"/>
    <cellStyle name="40% - Accent1 2 32" xfId="272" xr:uid="{00000000-0005-0000-0000-00000F010000}"/>
    <cellStyle name="40% - Accent1 2 33" xfId="273" xr:uid="{00000000-0005-0000-0000-000010010000}"/>
    <cellStyle name="40% - Accent1 2 34" xfId="274" xr:uid="{00000000-0005-0000-0000-000011010000}"/>
    <cellStyle name="40% - Accent1 2 35" xfId="275" xr:uid="{00000000-0005-0000-0000-000012010000}"/>
    <cellStyle name="40% - Accent1 2 36" xfId="276" xr:uid="{00000000-0005-0000-0000-000013010000}"/>
    <cellStyle name="40% - Accent1 2 37" xfId="277" xr:uid="{00000000-0005-0000-0000-000014010000}"/>
    <cellStyle name="40% - Accent1 2 38" xfId="278" xr:uid="{00000000-0005-0000-0000-000015010000}"/>
    <cellStyle name="40% - Accent1 2 39" xfId="279" xr:uid="{00000000-0005-0000-0000-000016010000}"/>
    <cellStyle name="40% - Accent1 2 4" xfId="280" xr:uid="{00000000-0005-0000-0000-000017010000}"/>
    <cellStyle name="40% - Accent1 2 40" xfId="281" xr:uid="{00000000-0005-0000-0000-000018010000}"/>
    <cellStyle name="40% - Accent1 2 41" xfId="282" xr:uid="{00000000-0005-0000-0000-000019010000}"/>
    <cellStyle name="40% - Accent1 2 42" xfId="283" xr:uid="{00000000-0005-0000-0000-00001A010000}"/>
    <cellStyle name="40% - Accent1 2 43" xfId="284" xr:uid="{00000000-0005-0000-0000-00001B010000}"/>
    <cellStyle name="40% - Accent1 2 44" xfId="285" xr:uid="{00000000-0005-0000-0000-00001C010000}"/>
    <cellStyle name="40% - Accent1 2 45" xfId="286" xr:uid="{00000000-0005-0000-0000-00001D010000}"/>
    <cellStyle name="40% - Accent1 2 46" xfId="287" xr:uid="{00000000-0005-0000-0000-00001E010000}"/>
    <cellStyle name="40% - Accent1 2 47" xfId="288" xr:uid="{00000000-0005-0000-0000-00001F010000}"/>
    <cellStyle name="40% - Accent1 2 48" xfId="289" xr:uid="{00000000-0005-0000-0000-000020010000}"/>
    <cellStyle name="40% - Accent1 2 49" xfId="290" xr:uid="{00000000-0005-0000-0000-000021010000}"/>
    <cellStyle name="40% - Accent1 2 5" xfId="291" xr:uid="{00000000-0005-0000-0000-000022010000}"/>
    <cellStyle name="40% - Accent1 2 6" xfId="292" xr:uid="{00000000-0005-0000-0000-000023010000}"/>
    <cellStyle name="40% - Accent1 2 7" xfId="293" xr:uid="{00000000-0005-0000-0000-000024010000}"/>
    <cellStyle name="40% - Accent1 2 8" xfId="294" xr:uid="{00000000-0005-0000-0000-000025010000}"/>
    <cellStyle name="40% - Accent1 2 9" xfId="295" xr:uid="{00000000-0005-0000-0000-000026010000}"/>
    <cellStyle name="40% - Accent2" xfId="296" builtinId="35" customBuiltin="1"/>
    <cellStyle name="40% - Accent3" xfId="1997" builtinId="39"/>
    <cellStyle name="40% - Accent3 2" xfId="297" xr:uid="{00000000-0005-0000-0000-000028010000}"/>
    <cellStyle name="40% - Accent3 2 10" xfId="298" xr:uid="{00000000-0005-0000-0000-000029010000}"/>
    <cellStyle name="40% - Accent3 2 11" xfId="299" xr:uid="{00000000-0005-0000-0000-00002A010000}"/>
    <cellStyle name="40% - Accent3 2 12" xfId="300" xr:uid="{00000000-0005-0000-0000-00002B010000}"/>
    <cellStyle name="40% - Accent3 2 13" xfId="301" xr:uid="{00000000-0005-0000-0000-00002C010000}"/>
    <cellStyle name="40% - Accent3 2 14" xfId="302" xr:uid="{00000000-0005-0000-0000-00002D010000}"/>
    <cellStyle name="40% - Accent3 2 15" xfId="303" xr:uid="{00000000-0005-0000-0000-00002E010000}"/>
    <cellStyle name="40% - Accent3 2 16" xfId="304" xr:uid="{00000000-0005-0000-0000-00002F010000}"/>
    <cellStyle name="40% - Accent3 2 17" xfId="305" xr:uid="{00000000-0005-0000-0000-000030010000}"/>
    <cellStyle name="40% - Accent3 2 18" xfId="306" xr:uid="{00000000-0005-0000-0000-000031010000}"/>
    <cellStyle name="40% - Accent3 2 19" xfId="307" xr:uid="{00000000-0005-0000-0000-000032010000}"/>
    <cellStyle name="40% - Accent3 2 2" xfId="308" xr:uid="{00000000-0005-0000-0000-000033010000}"/>
    <cellStyle name="40% - Accent3 2 20" xfId="309" xr:uid="{00000000-0005-0000-0000-000034010000}"/>
    <cellStyle name="40% - Accent3 2 21" xfId="310" xr:uid="{00000000-0005-0000-0000-000035010000}"/>
    <cellStyle name="40% - Accent3 2 22" xfId="311" xr:uid="{00000000-0005-0000-0000-000036010000}"/>
    <cellStyle name="40% - Accent3 2 23" xfId="312" xr:uid="{00000000-0005-0000-0000-000037010000}"/>
    <cellStyle name="40% - Accent3 2 24" xfId="313" xr:uid="{00000000-0005-0000-0000-000038010000}"/>
    <cellStyle name="40% - Accent3 2 25" xfId="314" xr:uid="{00000000-0005-0000-0000-000039010000}"/>
    <cellStyle name="40% - Accent3 2 26" xfId="315" xr:uid="{00000000-0005-0000-0000-00003A010000}"/>
    <cellStyle name="40% - Accent3 2 27" xfId="316" xr:uid="{00000000-0005-0000-0000-00003B010000}"/>
    <cellStyle name="40% - Accent3 2 28" xfId="317" xr:uid="{00000000-0005-0000-0000-00003C010000}"/>
    <cellStyle name="40% - Accent3 2 29" xfId="318" xr:uid="{00000000-0005-0000-0000-00003D010000}"/>
    <cellStyle name="40% - Accent3 2 3" xfId="319" xr:uid="{00000000-0005-0000-0000-00003E010000}"/>
    <cellStyle name="40% - Accent3 2 30" xfId="320" xr:uid="{00000000-0005-0000-0000-00003F010000}"/>
    <cellStyle name="40% - Accent3 2 31" xfId="321" xr:uid="{00000000-0005-0000-0000-000040010000}"/>
    <cellStyle name="40% - Accent3 2 32" xfId="322" xr:uid="{00000000-0005-0000-0000-000041010000}"/>
    <cellStyle name="40% - Accent3 2 33" xfId="323" xr:uid="{00000000-0005-0000-0000-000042010000}"/>
    <cellStyle name="40% - Accent3 2 34" xfId="324" xr:uid="{00000000-0005-0000-0000-000043010000}"/>
    <cellStyle name="40% - Accent3 2 35" xfId="325" xr:uid="{00000000-0005-0000-0000-000044010000}"/>
    <cellStyle name="40% - Accent3 2 36" xfId="326" xr:uid="{00000000-0005-0000-0000-000045010000}"/>
    <cellStyle name="40% - Accent3 2 37" xfId="327" xr:uid="{00000000-0005-0000-0000-000046010000}"/>
    <cellStyle name="40% - Accent3 2 38" xfId="328" xr:uid="{00000000-0005-0000-0000-000047010000}"/>
    <cellStyle name="40% - Accent3 2 39" xfId="329" xr:uid="{00000000-0005-0000-0000-000048010000}"/>
    <cellStyle name="40% - Accent3 2 4" xfId="330" xr:uid="{00000000-0005-0000-0000-000049010000}"/>
    <cellStyle name="40% - Accent3 2 40" xfId="331" xr:uid="{00000000-0005-0000-0000-00004A010000}"/>
    <cellStyle name="40% - Accent3 2 41" xfId="332" xr:uid="{00000000-0005-0000-0000-00004B010000}"/>
    <cellStyle name="40% - Accent3 2 42" xfId="333" xr:uid="{00000000-0005-0000-0000-00004C010000}"/>
    <cellStyle name="40% - Accent3 2 43" xfId="334" xr:uid="{00000000-0005-0000-0000-00004D010000}"/>
    <cellStyle name="40% - Accent3 2 44" xfId="335" xr:uid="{00000000-0005-0000-0000-00004E010000}"/>
    <cellStyle name="40% - Accent3 2 45" xfId="336" xr:uid="{00000000-0005-0000-0000-00004F010000}"/>
    <cellStyle name="40% - Accent3 2 46" xfId="337" xr:uid="{00000000-0005-0000-0000-000050010000}"/>
    <cellStyle name="40% - Accent3 2 47" xfId="338" xr:uid="{00000000-0005-0000-0000-000051010000}"/>
    <cellStyle name="40% - Accent3 2 48" xfId="339" xr:uid="{00000000-0005-0000-0000-000052010000}"/>
    <cellStyle name="40% - Accent3 2 49" xfId="340" xr:uid="{00000000-0005-0000-0000-000053010000}"/>
    <cellStyle name="40% - Accent3 2 5" xfId="341" xr:uid="{00000000-0005-0000-0000-000054010000}"/>
    <cellStyle name="40% - Accent3 2 6" xfId="342" xr:uid="{00000000-0005-0000-0000-000055010000}"/>
    <cellStyle name="40% - Accent3 2 7" xfId="343" xr:uid="{00000000-0005-0000-0000-000056010000}"/>
    <cellStyle name="40% - Accent3 2 8" xfId="344" xr:uid="{00000000-0005-0000-0000-000057010000}"/>
    <cellStyle name="40% - Accent3 2 9" xfId="345" xr:uid="{00000000-0005-0000-0000-000058010000}"/>
    <cellStyle name="40% - Accent4 2" xfId="346" xr:uid="{00000000-0005-0000-0000-000059010000}"/>
    <cellStyle name="40% - Accent4 2 10" xfId="347" xr:uid="{00000000-0005-0000-0000-00005A010000}"/>
    <cellStyle name="40% - Accent4 2 11" xfId="348" xr:uid="{00000000-0005-0000-0000-00005B010000}"/>
    <cellStyle name="40% - Accent4 2 12" xfId="349" xr:uid="{00000000-0005-0000-0000-00005C010000}"/>
    <cellStyle name="40% - Accent4 2 13" xfId="350" xr:uid="{00000000-0005-0000-0000-00005D010000}"/>
    <cellStyle name="40% - Accent4 2 14" xfId="351" xr:uid="{00000000-0005-0000-0000-00005E010000}"/>
    <cellStyle name="40% - Accent4 2 15" xfId="352" xr:uid="{00000000-0005-0000-0000-00005F010000}"/>
    <cellStyle name="40% - Accent4 2 16" xfId="353" xr:uid="{00000000-0005-0000-0000-000060010000}"/>
    <cellStyle name="40% - Accent4 2 17" xfId="354" xr:uid="{00000000-0005-0000-0000-000061010000}"/>
    <cellStyle name="40% - Accent4 2 18" xfId="355" xr:uid="{00000000-0005-0000-0000-000062010000}"/>
    <cellStyle name="40% - Accent4 2 19" xfId="356" xr:uid="{00000000-0005-0000-0000-000063010000}"/>
    <cellStyle name="40% - Accent4 2 2" xfId="357" xr:uid="{00000000-0005-0000-0000-000064010000}"/>
    <cellStyle name="40% - Accent4 2 20" xfId="358" xr:uid="{00000000-0005-0000-0000-000065010000}"/>
    <cellStyle name="40% - Accent4 2 21" xfId="359" xr:uid="{00000000-0005-0000-0000-000066010000}"/>
    <cellStyle name="40% - Accent4 2 22" xfId="360" xr:uid="{00000000-0005-0000-0000-000067010000}"/>
    <cellStyle name="40% - Accent4 2 23" xfId="361" xr:uid="{00000000-0005-0000-0000-000068010000}"/>
    <cellStyle name="40% - Accent4 2 24" xfId="362" xr:uid="{00000000-0005-0000-0000-000069010000}"/>
    <cellStyle name="40% - Accent4 2 25" xfId="363" xr:uid="{00000000-0005-0000-0000-00006A010000}"/>
    <cellStyle name="40% - Accent4 2 26" xfId="364" xr:uid="{00000000-0005-0000-0000-00006B010000}"/>
    <cellStyle name="40% - Accent4 2 27" xfId="365" xr:uid="{00000000-0005-0000-0000-00006C010000}"/>
    <cellStyle name="40% - Accent4 2 28" xfId="366" xr:uid="{00000000-0005-0000-0000-00006D010000}"/>
    <cellStyle name="40% - Accent4 2 29" xfId="367" xr:uid="{00000000-0005-0000-0000-00006E010000}"/>
    <cellStyle name="40% - Accent4 2 3" xfId="368" xr:uid="{00000000-0005-0000-0000-00006F010000}"/>
    <cellStyle name="40% - Accent4 2 30" xfId="369" xr:uid="{00000000-0005-0000-0000-000070010000}"/>
    <cellStyle name="40% - Accent4 2 31" xfId="370" xr:uid="{00000000-0005-0000-0000-000071010000}"/>
    <cellStyle name="40% - Accent4 2 32" xfId="371" xr:uid="{00000000-0005-0000-0000-000072010000}"/>
    <cellStyle name="40% - Accent4 2 33" xfId="372" xr:uid="{00000000-0005-0000-0000-000073010000}"/>
    <cellStyle name="40% - Accent4 2 34" xfId="373" xr:uid="{00000000-0005-0000-0000-000074010000}"/>
    <cellStyle name="40% - Accent4 2 35" xfId="374" xr:uid="{00000000-0005-0000-0000-000075010000}"/>
    <cellStyle name="40% - Accent4 2 36" xfId="375" xr:uid="{00000000-0005-0000-0000-000076010000}"/>
    <cellStyle name="40% - Accent4 2 37" xfId="376" xr:uid="{00000000-0005-0000-0000-000077010000}"/>
    <cellStyle name="40% - Accent4 2 38" xfId="377" xr:uid="{00000000-0005-0000-0000-000078010000}"/>
    <cellStyle name="40% - Accent4 2 39" xfId="378" xr:uid="{00000000-0005-0000-0000-000079010000}"/>
    <cellStyle name="40% - Accent4 2 4" xfId="379" xr:uid="{00000000-0005-0000-0000-00007A010000}"/>
    <cellStyle name="40% - Accent4 2 40" xfId="380" xr:uid="{00000000-0005-0000-0000-00007B010000}"/>
    <cellStyle name="40% - Accent4 2 41" xfId="381" xr:uid="{00000000-0005-0000-0000-00007C010000}"/>
    <cellStyle name="40% - Accent4 2 42" xfId="382" xr:uid="{00000000-0005-0000-0000-00007D010000}"/>
    <cellStyle name="40% - Accent4 2 43" xfId="383" xr:uid="{00000000-0005-0000-0000-00007E010000}"/>
    <cellStyle name="40% - Accent4 2 44" xfId="384" xr:uid="{00000000-0005-0000-0000-00007F010000}"/>
    <cellStyle name="40% - Accent4 2 45" xfId="385" xr:uid="{00000000-0005-0000-0000-000080010000}"/>
    <cellStyle name="40% - Accent4 2 46" xfId="386" xr:uid="{00000000-0005-0000-0000-000081010000}"/>
    <cellStyle name="40% - Accent4 2 47" xfId="387" xr:uid="{00000000-0005-0000-0000-000082010000}"/>
    <cellStyle name="40% - Accent4 2 48" xfId="388" xr:uid="{00000000-0005-0000-0000-000083010000}"/>
    <cellStyle name="40% - Accent4 2 49" xfId="389" xr:uid="{00000000-0005-0000-0000-000084010000}"/>
    <cellStyle name="40% - Accent4 2 5" xfId="390" xr:uid="{00000000-0005-0000-0000-000085010000}"/>
    <cellStyle name="40% - Accent4 2 6" xfId="391" xr:uid="{00000000-0005-0000-0000-000086010000}"/>
    <cellStyle name="40% - Accent4 2 7" xfId="392" xr:uid="{00000000-0005-0000-0000-000087010000}"/>
    <cellStyle name="40% - Accent4 2 8" xfId="393" xr:uid="{00000000-0005-0000-0000-000088010000}"/>
    <cellStyle name="40% - Accent4 2 9" xfId="394" xr:uid="{00000000-0005-0000-0000-000089010000}"/>
    <cellStyle name="40% - Accent5 2" xfId="395" xr:uid="{00000000-0005-0000-0000-00008A010000}"/>
    <cellStyle name="40% - Accent5 2 10" xfId="396" xr:uid="{00000000-0005-0000-0000-00008B010000}"/>
    <cellStyle name="40% - Accent5 2 11" xfId="397" xr:uid="{00000000-0005-0000-0000-00008C010000}"/>
    <cellStyle name="40% - Accent5 2 12" xfId="398" xr:uid="{00000000-0005-0000-0000-00008D010000}"/>
    <cellStyle name="40% - Accent5 2 13" xfId="399" xr:uid="{00000000-0005-0000-0000-00008E010000}"/>
    <cellStyle name="40% - Accent5 2 14" xfId="400" xr:uid="{00000000-0005-0000-0000-00008F010000}"/>
    <cellStyle name="40% - Accent5 2 15" xfId="401" xr:uid="{00000000-0005-0000-0000-000090010000}"/>
    <cellStyle name="40% - Accent5 2 16" xfId="402" xr:uid="{00000000-0005-0000-0000-000091010000}"/>
    <cellStyle name="40% - Accent5 2 17" xfId="403" xr:uid="{00000000-0005-0000-0000-000092010000}"/>
    <cellStyle name="40% - Accent5 2 18" xfId="404" xr:uid="{00000000-0005-0000-0000-000093010000}"/>
    <cellStyle name="40% - Accent5 2 19" xfId="405" xr:uid="{00000000-0005-0000-0000-000094010000}"/>
    <cellStyle name="40% - Accent5 2 2" xfId="406" xr:uid="{00000000-0005-0000-0000-000095010000}"/>
    <cellStyle name="40% - Accent5 2 20" xfId="407" xr:uid="{00000000-0005-0000-0000-000096010000}"/>
    <cellStyle name="40% - Accent5 2 21" xfId="408" xr:uid="{00000000-0005-0000-0000-000097010000}"/>
    <cellStyle name="40% - Accent5 2 22" xfId="409" xr:uid="{00000000-0005-0000-0000-000098010000}"/>
    <cellStyle name="40% - Accent5 2 23" xfId="410" xr:uid="{00000000-0005-0000-0000-000099010000}"/>
    <cellStyle name="40% - Accent5 2 24" xfId="411" xr:uid="{00000000-0005-0000-0000-00009A010000}"/>
    <cellStyle name="40% - Accent5 2 25" xfId="412" xr:uid="{00000000-0005-0000-0000-00009B010000}"/>
    <cellStyle name="40% - Accent5 2 26" xfId="413" xr:uid="{00000000-0005-0000-0000-00009C010000}"/>
    <cellStyle name="40% - Accent5 2 27" xfId="414" xr:uid="{00000000-0005-0000-0000-00009D010000}"/>
    <cellStyle name="40% - Accent5 2 28" xfId="415" xr:uid="{00000000-0005-0000-0000-00009E010000}"/>
    <cellStyle name="40% - Accent5 2 29" xfId="416" xr:uid="{00000000-0005-0000-0000-00009F010000}"/>
    <cellStyle name="40% - Accent5 2 3" xfId="417" xr:uid="{00000000-0005-0000-0000-0000A0010000}"/>
    <cellStyle name="40% - Accent5 2 30" xfId="418" xr:uid="{00000000-0005-0000-0000-0000A1010000}"/>
    <cellStyle name="40% - Accent5 2 31" xfId="419" xr:uid="{00000000-0005-0000-0000-0000A2010000}"/>
    <cellStyle name="40% - Accent5 2 32" xfId="420" xr:uid="{00000000-0005-0000-0000-0000A3010000}"/>
    <cellStyle name="40% - Accent5 2 33" xfId="421" xr:uid="{00000000-0005-0000-0000-0000A4010000}"/>
    <cellStyle name="40% - Accent5 2 34" xfId="422" xr:uid="{00000000-0005-0000-0000-0000A5010000}"/>
    <cellStyle name="40% - Accent5 2 35" xfId="423" xr:uid="{00000000-0005-0000-0000-0000A6010000}"/>
    <cellStyle name="40% - Accent5 2 36" xfId="424" xr:uid="{00000000-0005-0000-0000-0000A7010000}"/>
    <cellStyle name="40% - Accent5 2 37" xfId="425" xr:uid="{00000000-0005-0000-0000-0000A8010000}"/>
    <cellStyle name="40% - Accent5 2 38" xfId="426" xr:uid="{00000000-0005-0000-0000-0000A9010000}"/>
    <cellStyle name="40% - Accent5 2 39" xfId="427" xr:uid="{00000000-0005-0000-0000-0000AA010000}"/>
    <cellStyle name="40% - Accent5 2 4" xfId="428" xr:uid="{00000000-0005-0000-0000-0000AB010000}"/>
    <cellStyle name="40% - Accent5 2 40" xfId="429" xr:uid="{00000000-0005-0000-0000-0000AC010000}"/>
    <cellStyle name="40% - Accent5 2 41" xfId="430" xr:uid="{00000000-0005-0000-0000-0000AD010000}"/>
    <cellStyle name="40% - Accent5 2 42" xfId="431" xr:uid="{00000000-0005-0000-0000-0000AE010000}"/>
    <cellStyle name="40% - Accent5 2 43" xfId="432" xr:uid="{00000000-0005-0000-0000-0000AF010000}"/>
    <cellStyle name="40% - Accent5 2 44" xfId="433" xr:uid="{00000000-0005-0000-0000-0000B0010000}"/>
    <cellStyle name="40% - Accent5 2 45" xfId="434" xr:uid="{00000000-0005-0000-0000-0000B1010000}"/>
    <cellStyle name="40% - Accent5 2 46" xfId="435" xr:uid="{00000000-0005-0000-0000-0000B2010000}"/>
    <cellStyle name="40% - Accent5 2 47" xfId="436" xr:uid="{00000000-0005-0000-0000-0000B3010000}"/>
    <cellStyle name="40% - Accent5 2 48" xfId="437" xr:uid="{00000000-0005-0000-0000-0000B4010000}"/>
    <cellStyle name="40% - Accent5 2 49" xfId="438" xr:uid="{00000000-0005-0000-0000-0000B5010000}"/>
    <cellStyle name="40% - Accent5 2 5" xfId="439" xr:uid="{00000000-0005-0000-0000-0000B6010000}"/>
    <cellStyle name="40% - Accent5 2 6" xfId="440" xr:uid="{00000000-0005-0000-0000-0000B7010000}"/>
    <cellStyle name="40% - Accent5 2 7" xfId="441" xr:uid="{00000000-0005-0000-0000-0000B8010000}"/>
    <cellStyle name="40% - Accent5 2 8" xfId="442" xr:uid="{00000000-0005-0000-0000-0000B9010000}"/>
    <cellStyle name="40% - Accent5 2 9" xfId="443" xr:uid="{00000000-0005-0000-0000-0000BA010000}"/>
    <cellStyle name="40% - Accent6 2" xfId="444" xr:uid="{00000000-0005-0000-0000-0000BB010000}"/>
    <cellStyle name="40% - Accent6 2 10" xfId="445" xr:uid="{00000000-0005-0000-0000-0000BC010000}"/>
    <cellStyle name="40% - Accent6 2 11" xfId="446" xr:uid="{00000000-0005-0000-0000-0000BD010000}"/>
    <cellStyle name="40% - Accent6 2 12" xfId="447" xr:uid="{00000000-0005-0000-0000-0000BE010000}"/>
    <cellStyle name="40% - Accent6 2 13" xfId="448" xr:uid="{00000000-0005-0000-0000-0000BF010000}"/>
    <cellStyle name="40% - Accent6 2 14" xfId="449" xr:uid="{00000000-0005-0000-0000-0000C0010000}"/>
    <cellStyle name="40% - Accent6 2 15" xfId="450" xr:uid="{00000000-0005-0000-0000-0000C1010000}"/>
    <cellStyle name="40% - Accent6 2 16" xfId="451" xr:uid="{00000000-0005-0000-0000-0000C2010000}"/>
    <cellStyle name="40% - Accent6 2 17" xfId="452" xr:uid="{00000000-0005-0000-0000-0000C3010000}"/>
    <cellStyle name="40% - Accent6 2 18" xfId="453" xr:uid="{00000000-0005-0000-0000-0000C4010000}"/>
    <cellStyle name="40% - Accent6 2 19" xfId="454" xr:uid="{00000000-0005-0000-0000-0000C5010000}"/>
    <cellStyle name="40% - Accent6 2 2" xfId="455" xr:uid="{00000000-0005-0000-0000-0000C6010000}"/>
    <cellStyle name="40% - Accent6 2 20" xfId="456" xr:uid="{00000000-0005-0000-0000-0000C7010000}"/>
    <cellStyle name="40% - Accent6 2 21" xfId="457" xr:uid="{00000000-0005-0000-0000-0000C8010000}"/>
    <cellStyle name="40% - Accent6 2 22" xfId="458" xr:uid="{00000000-0005-0000-0000-0000C9010000}"/>
    <cellStyle name="40% - Accent6 2 23" xfId="459" xr:uid="{00000000-0005-0000-0000-0000CA010000}"/>
    <cellStyle name="40% - Accent6 2 24" xfId="460" xr:uid="{00000000-0005-0000-0000-0000CB010000}"/>
    <cellStyle name="40% - Accent6 2 25" xfId="461" xr:uid="{00000000-0005-0000-0000-0000CC010000}"/>
    <cellStyle name="40% - Accent6 2 26" xfId="462" xr:uid="{00000000-0005-0000-0000-0000CD010000}"/>
    <cellStyle name="40% - Accent6 2 27" xfId="463" xr:uid="{00000000-0005-0000-0000-0000CE010000}"/>
    <cellStyle name="40% - Accent6 2 28" xfId="464" xr:uid="{00000000-0005-0000-0000-0000CF010000}"/>
    <cellStyle name="40% - Accent6 2 29" xfId="465" xr:uid="{00000000-0005-0000-0000-0000D0010000}"/>
    <cellStyle name="40% - Accent6 2 3" xfId="466" xr:uid="{00000000-0005-0000-0000-0000D1010000}"/>
    <cellStyle name="40% - Accent6 2 30" xfId="467" xr:uid="{00000000-0005-0000-0000-0000D2010000}"/>
    <cellStyle name="40% - Accent6 2 31" xfId="468" xr:uid="{00000000-0005-0000-0000-0000D3010000}"/>
    <cellStyle name="40% - Accent6 2 32" xfId="469" xr:uid="{00000000-0005-0000-0000-0000D4010000}"/>
    <cellStyle name="40% - Accent6 2 33" xfId="470" xr:uid="{00000000-0005-0000-0000-0000D5010000}"/>
    <cellStyle name="40% - Accent6 2 34" xfId="471" xr:uid="{00000000-0005-0000-0000-0000D6010000}"/>
    <cellStyle name="40% - Accent6 2 35" xfId="472" xr:uid="{00000000-0005-0000-0000-0000D7010000}"/>
    <cellStyle name="40% - Accent6 2 36" xfId="473" xr:uid="{00000000-0005-0000-0000-0000D8010000}"/>
    <cellStyle name="40% - Accent6 2 37" xfId="474" xr:uid="{00000000-0005-0000-0000-0000D9010000}"/>
    <cellStyle name="40% - Accent6 2 38" xfId="475" xr:uid="{00000000-0005-0000-0000-0000DA010000}"/>
    <cellStyle name="40% - Accent6 2 39" xfId="476" xr:uid="{00000000-0005-0000-0000-0000DB010000}"/>
    <cellStyle name="40% - Accent6 2 4" xfId="477" xr:uid="{00000000-0005-0000-0000-0000DC010000}"/>
    <cellStyle name="40% - Accent6 2 40" xfId="478" xr:uid="{00000000-0005-0000-0000-0000DD010000}"/>
    <cellStyle name="40% - Accent6 2 41" xfId="479" xr:uid="{00000000-0005-0000-0000-0000DE010000}"/>
    <cellStyle name="40% - Accent6 2 42" xfId="480" xr:uid="{00000000-0005-0000-0000-0000DF010000}"/>
    <cellStyle name="40% - Accent6 2 43" xfId="481" xr:uid="{00000000-0005-0000-0000-0000E0010000}"/>
    <cellStyle name="40% - Accent6 2 44" xfId="482" xr:uid="{00000000-0005-0000-0000-0000E1010000}"/>
    <cellStyle name="40% - Accent6 2 45" xfId="483" xr:uid="{00000000-0005-0000-0000-0000E2010000}"/>
    <cellStyle name="40% - Accent6 2 46" xfId="484" xr:uid="{00000000-0005-0000-0000-0000E3010000}"/>
    <cellStyle name="40% - Accent6 2 47" xfId="485" xr:uid="{00000000-0005-0000-0000-0000E4010000}"/>
    <cellStyle name="40% - Accent6 2 48" xfId="486" xr:uid="{00000000-0005-0000-0000-0000E5010000}"/>
    <cellStyle name="40% - Accent6 2 49" xfId="487" xr:uid="{00000000-0005-0000-0000-0000E6010000}"/>
    <cellStyle name="40% - Accent6 2 5" xfId="488" xr:uid="{00000000-0005-0000-0000-0000E7010000}"/>
    <cellStyle name="40% - Accent6 2 6" xfId="489" xr:uid="{00000000-0005-0000-0000-0000E8010000}"/>
    <cellStyle name="40% - Accent6 2 7" xfId="490" xr:uid="{00000000-0005-0000-0000-0000E9010000}"/>
    <cellStyle name="40% - Accent6 2 8" xfId="491" xr:uid="{00000000-0005-0000-0000-0000EA010000}"/>
    <cellStyle name="40% - Accent6 2 9" xfId="492" xr:uid="{00000000-0005-0000-0000-0000EB010000}"/>
    <cellStyle name="60% - Accent1 2" xfId="493" xr:uid="{00000000-0005-0000-0000-0000EC010000}"/>
    <cellStyle name="60% - Accent1 2 10" xfId="494" xr:uid="{00000000-0005-0000-0000-0000ED010000}"/>
    <cellStyle name="60% - Accent1 2 11" xfId="495" xr:uid="{00000000-0005-0000-0000-0000EE010000}"/>
    <cellStyle name="60% - Accent1 2 12" xfId="496" xr:uid="{00000000-0005-0000-0000-0000EF010000}"/>
    <cellStyle name="60% - Accent1 2 13" xfId="497" xr:uid="{00000000-0005-0000-0000-0000F0010000}"/>
    <cellStyle name="60% - Accent1 2 14" xfId="498" xr:uid="{00000000-0005-0000-0000-0000F1010000}"/>
    <cellStyle name="60% - Accent1 2 15" xfId="499" xr:uid="{00000000-0005-0000-0000-0000F2010000}"/>
    <cellStyle name="60% - Accent1 2 16" xfId="500" xr:uid="{00000000-0005-0000-0000-0000F3010000}"/>
    <cellStyle name="60% - Accent1 2 17" xfId="501" xr:uid="{00000000-0005-0000-0000-0000F4010000}"/>
    <cellStyle name="60% - Accent1 2 18" xfId="502" xr:uid="{00000000-0005-0000-0000-0000F5010000}"/>
    <cellStyle name="60% - Accent1 2 19" xfId="503" xr:uid="{00000000-0005-0000-0000-0000F6010000}"/>
    <cellStyle name="60% - Accent1 2 2" xfId="504" xr:uid="{00000000-0005-0000-0000-0000F7010000}"/>
    <cellStyle name="60% - Accent1 2 20" xfId="505" xr:uid="{00000000-0005-0000-0000-0000F8010000}"/>
    <cellStyle name="60% - Accent1 2 21" xfId="506" xr:uid="{00000000-0005-0000-0000-0000F9010000}"/>
    <cellStyle name="60% - Accent1 2 22" xfId="507" xr:uid="{00000000-0005-0000-0000-0000FA010000}"/>
    <cellStyle name="60% - Accent1 2 23" xfId="508" xr:uid="{00000000-0005-0000-0000-0000FB010000}"/>
    <cellStyle name="60% - Accent1 2 24" xfId="509" xr:uid="{00000000-0005-0000-0000-0000FC010000}"/>
    <cellStyle name="60% - Accent1 2 25" xfId="510" xr:uid="{00000000-0005-0000-0000-0000FD010000}"/>
    <cellStyle name="60% - Accent1 2 26" xfId="511" xr:uid="{00000000-0005-0000-0000-0000FE010000}"/>
    <cellStyle name="60% - Accent1 2 27" xfId="512" xr:uid="{00000000-0005-0000-0000-0000FF010000}"/>
    <cellStyle name="60% - Accent1 2 28" xfId="513" xr:uid="{00000000-0005-0000-0000-000000020000}"/>
    <cellStyle name="60% - Accent1 2 29" xfId="514" xr:uid="{00000000-0005-0000-0000-000001020000}"/>
    <cellStyle name="60% - Accent1 2 3" xfId="515" xr:uid="{00000000-0005-0000-0000-000002020000}"/>
    <cellStyle name="60% - Accent1 2 30" xfId="516" xr:uid="{00000000-0005-0000-0000-000003020000}"/>
    <cellStyle name="60% - Accent1 2 31" xfId="517" xr:uid="{00000000-0005-0000-0000-000004020000}"/>
    <cellStyle name="60% - Accent1 2 32" xfId="518" xr:uid="{00000000-0005-0000-0000-000005020000}"/>
    <cellStyle name="60% - Accent1 2 33" xfId="519" xr:uid="{00000000-0005-0000-0000-000006020000}"/>
    <cellStyle name="60% - Accent1 2 34" xfId="520" xr:uid="{00000000-0005-0000-0000-000007020000}"/>
    <cellStyle name="60% - Accent1 2 35" xfId="521" xr:uid="{00000000-0005-0000-0000-000008020000}"/>
    <cellStyle name="60% - Accent1 2 36" xfId="522" xr:uid="{00000000-0005-0000-0000-000009020000}"/>
    <cellStyle name="60% - Accent1 2 37" xfId="523" xr:uid="{00000000-0005-0000-0000-00000A020000}"/>
    <cellStyle name="60% - Accent1 2 38" xfId="524" xr:uid="{00000000-0005-0000-0000-00000B020000}"/>
    <cellStyle name="60% - Accent1 2 39" xfId="525" xr:uid="{00000000-0005-0000-0000-00000C020000}"/>
    <cellStyle name="60% - Accent1 2 4" xfId="526" xr:uid="{00000000-0005-0000-0000-00000D020000}"/>
    <cellStyle name="60% - Accent1 2 40" xfId="527" xr:uid="{00000000-0005-0000-0000-00000E020000}"/>
    <cellStyle name="60% - Accent1 2 41" xfId="528" xr:uid="{00000000-0005-0000-0000-00000F020000}"/>
    <cellStyle name="60% - Accent1 2 42" xfId="529" xr:uid="{00000000-0005-0000-0000-000010020000}"/>
    <cellStyle name="60% - Accent1 2 43" xfId="530" xr:uid="{00000000-0005-0000-0000-000011020000}"/>
    <cellStyle name="60% - Accent1 2 44" xfId="531" xr:uid="{00000000-0005-0000-0000-000012020000}"/>
    <cellStyle name="60% - Accent1 2 45" xfId="532" xr:uid="{00000000-0005-0000-0000-000013020000}"/>
    <cellStyle name="60% - Accent1 2 46" xfId="533" xr:uid="{00000000-0005-0000-0000-000014020000}"/>
    <cellStyle name="60% - Accent1 2 47" xfId="534" xr:uid="{00000000-0005-0000-0000-000015020000}"/>
    <cellStyle name="60% - Accent1 2 48" xfId="535" xr:uid="{00000000-0005-0000-0000-000016020000}"/>
    <cellStyle name="60% - Accent1 2 49" xfId="536" xr:uid="{00000000-0005-0000-0000-000017020000}"/>
    <cellStyle name="60% - Accent1 2 5" xfId="537" xr:uid="{00000000-0005-0000-0000-000018020000}"/>
    <cellStyle name="60% - Accent1 2 6" xfId="538" xr:uid="{00000000-0005-0000-0000-000019020000}"/>
    <cellStyle name="60% - Accent1 2 7" xfId="539" xr:uid="{00000000-0005-0000-0000-00001A020000}"/>
    <cellStyle name="60% - Accent1 2 8" xfId="540" xr:uid="{00000000-0005-0000-0000-00001B020000}"/>
    <cellStyle name="60% - Accent1 2 9" xfId="541" xr:uid="{00000000-0005-0000-0000-00001C020000}"/>
    <cellStyle name="60% - Accent2 2" xfId="542" xr:uid="{00000000-0005-0000-0000-00001D020000}"/>
    <cellStyle name="60% - Accent2 2 10" xfId="543" xr:uid="{00000000-0005-0000-0000-00001E020000}"/>
    <cellStyle name="60% - Accent2 2 11" xfId="544" xr:uid="{00000000-0005-0000-0000-00001F020000}"/>
    <cellStyle name="60% - Accent2 2 12" xfId="545" xr:uid="{00000000-0005-0000-0000-000020020000}"/>
    <cellStyle name="60% - Accent2 2 13" xfId="546" xr:uid="{00000000-0005-0000-0000-000021020000}"/>
    <cellStyle name="60% - Accent2 2 14" xfId="547" xr:uid="{00000000-0005-0000-0000-000022020000}"/>
    <cellStyle name="60% - Accent2 2 15" xfId="548" xr:uid="{00000000-0005-0000-0000-000023020000}"/>
    <cellStyle name="60% - Accent2 2 16" xfId="549" xr:uid="{00000000-0005-0000-0000-000024020000}"/>
    <cellStyle name="60% - Accent2 2 17" xfId="550" xr:uid="{00000000-0005-0000-0000-000025020000}"/>
    <cellStyle name="60% - Accent2 2 18" xfId="551" xr:uid="{00000000-0005-0000-0000-000026020000}"/>
    <cellStyle name="60% - Accent2 2 19" xfId="552" xr:uid="{00000000-0005-0000-0000-000027020000}"/>
    <cellStyle name="60% - Accent2 2 2" xfId="553" xr:uid="{00000000-0005-0000-0000-000028020000}"/>
    <cellStyle name="60% - Accent2 2 20" xfId="554" xr:uid="{00000000-0005-0000-0000-000029020000}"/>
    <cellStyle name="60% - Accent2 2 21" xfId="555" xr:uid="{00000000-0005-0000-0000-00002A020000}"/>
    <cellStyle name="60% - Accent2 2 22" xfId="556" xr:uid="{00000000-0005-0000-0000-00002B020000}"/>
    <cellStyle name="60% - Accent2 2 23" xfId="557" xr:uid="{00000000-0005-0000-0000-00002C020000}"/>
    <cellStyle name="60% - Accent2 2 24" xfId="558" xr:uid="{00000000-0005-0000-0000-00002D020000}"/>
    <cellStyle name="60% - Accent2 2 25" xfId="559" xr:uid="{00000000-0005-0000-0000-00002E020000}"/>
    <cellStyle name="60% - Accent2 2 26" xfId="560" xr:uid="{00000000-0005-0000-0000-00002F020000}"/>
    <cellStyle name="60% - Accent2 2 27" xfId="561" xr:uid="{00000000-0005-0000-0000-000030020000}"/>
    <cellStyle name="60% - Accent2 2 28" xfId="562" xr:uid="{00000000-0005-0000-0000-000031020000}"/>
    <cellStyle name="60% - Accent2 2 29" xfId="563" xr:uid="{00000000-0005-0000-0000-000032020000}"/>
    <cellStyle name="60% - Accent2 2 3" xfId="564" xr:uid="{00000000-0005-0000-0000-000033020000}"/>
    <cellStyle name="60% - Accent2 2 30" xfId="565" xr:uid="{00000000-0005-0000-0000-000034020000}"/>
    <cellStyle name="60% - Accent2 2 31" xfId="566" xr:uid="{00000000-0005-0000-0000-000035020000}"/>
    <cellStyle name="60% - Accent2 2 32" xfId="567" xr:uid="{00000000-0005-0000-0000-000036020000}"/>
    <cellStyle name="60% - Accent2 2 33" xfId="568" xr:uid="{00000000-0005-0000-0000-000037020000}"/>
    <cellStyle name="60% - Accent2 2 34" xfId="569" xr:uid="{00000000-0005-0000-0000-000038020000}"/>
    <cellStyle name="60% - Accent2 2 35" xfId="570" xr:uid="{00000000-0005-0000-0000-000039020000}"/>
    <cellStyle name="60% - Accent2 2 36" xfId="571" xr:uid="{00000000-0005-0000-0000-00003A020000}"/>
    <cellStyle name="60% - Accent2 2 37" xfId="572" xr:uid="{00000000-0005-0000-0000-00003B020000}"/>
    <cellStyle name="60% - Accent2 2 38" xfId="573" xr:uid="{00000000-0005-0000-0000-00003C020000}"/>
    <cellStyle name="60% - Accent2 2 39" xfId="574" xr:uid="{00000000-0005-0000-0000-00003D020000}"/>
    <cellStyle name="60% - Accent2 2 4" xfId="575" xr:uid="{00000000-0005-0000-0000-00003E020000}"/>
    <cellStyle name="60% - Accent2 2 40" xfId="576" xr:uid="{00000000-0005-0000-0000-00003F020000}"/>
    <cellStyle name="60% - Accent2 2 41" xfId="577" xr:uid="{00000000-0005-0000-0000-000040020000}"/>
    <cellStyle name="60% - Accent2 2 42" xfId="578" xr:uid="{00000000-0005-0000-0000-000041020000}"/>
    <cellStyle name="60% - Accent2 2 43" xfId="579" xr:uid="{00000000-0005-0000-0000-000042020000}"/>
    <cellStyle name="60% - Accent2 2 44" xfId="580" xr:uid="{00000000-0005-0000-0000-000043020000}"/>
    <cellStyle name="60% - Accent2 2 45" xfId="581" xr:uid="{00000000-0005-0000-0000-000044020000}"/>
    <cellStyle name="60% - Accent2 2 46" xfId="582" xr:uid="{00000000-0005-0000-0000-000045020000}"/>
    <cellStyle name="60% - Accent2 2 47" xfId="583" xr:uid="{00000000-0005-0000-0000-000046020000}"/>
    <cellStyle name="60% - Accent2 2 48" xfId="584" xr:uid="{00000000-0005-0000-0000-000047020000}"/>
    <cellStyle name="60% - Accent2 2 49" xfId="585" xr:uid="{00000000-0005-0000-0000-000048020000}"/>
    <cellStyle name="60% - Accent2 2 5" xfId="586" xr:uid="{00000000-0005-0000-0000-000049020000}"/>
    <cellStyle name="60% - Accent2 2 6" xfId="587" xr:uid="{00000000-0005-0000-0000-00004A020000}"/>
    <cellStyle name="60% - Accent2 2 7" xfId="588" xr:uid="{00000000-0005-0000-0000-00004B020000}"/>
    <cellStyle name="60% - Accent2 2 8" xfId="589" xr:uid="{00000000-0005-0000-0000-00004C020000}"/>
    <cellStyle name="60% - Accent2 2 9" xfId="590" xr:uid="{00000000-0005-0000-0000-00004D020000}"/>
    <cellStyle name="60% - Accent3 2" xfId="591" xr:uid="{00000000-0005-0000-0000-00004E020000}"/>
    <cellStyle name="60% - Accent3 2 10" xfId="592" xr:uid="{00000000-0005-0000-0000-00004F020000}"/>
    <cellStyle name="60% - Accent3 2 11" xfId="593" xr:uid="{00000000-0005-0000-0000-000050020000}"/>
    <cellStyle name="60% - Accent3 2 12" xfId="594" xr:uid="{00000000-0005-0000-0000-000051020000}"/>
    <cellStyle name="60% - Accent3 2 13" xfId="595" xr:uid="{00000000-0005-0000-0000-000052020000}"/>
    <cellStyle name="60% - Accent3 2 14" xfId="596" xr:uid="{00000000-0005-0000-0000-000053020000}"/>
    <cellStyle name="60% - Accent3 2 15" xfId="597" xr:uid="{00000000-0005-0000-0000-000054020000}"/>
    <cellStyle name="60% - Accent3 2 16" xfId="598" xr:uid="{00000000-0005-0000-0000-000055020000}"/>
    <cellStyle name="60% - Accent3 2 17" xfId="599" xr:uid="{00000000-0005-0000-0000-000056020000}"/>
    <cellStyle name="60% - Accent3 2 18" xfId="600" xr:uid="{00000000-0005-0000-0000-000057020000}"/>
    <cellStyle name="60% - Accent3 2 19" xfId="601" xr:uid="{00000000-0005-0000-0000-000058020000}"/>
    <cellStyle name="60% - Accent3 2 2" xfId="602" xr:uid="{00000000-0005-0000-0000-000059020000}"/>
    <cellStyle name="60% - Accent3 2 20" xfId="603" xr:uid="{00000000-0005-0000-0000-00005A020000}"/>
    <cellStyle name="60% - Accent3 2 21" xfId="604" xr:uid="{00000000-0005-0000-0000-00005B020000}"/>
    <cellStyle name="60% - Accent3 2 22" xfId="605" xr:uid="{00000000-0005-0000-0000-00005C020000}"/>
    <cellStyle name="60% - Accent3 2 23" xfId="606" xr:uid="{00000000-0005-0000-0000-00005D020000}"/>
    <cellStyle name="60% - Accent3 2 24" xfId="607" xr:uid="{00000000-0005-0000-0000-00005E020000}"/>
    <cellStyle name="60% - Accent3 2 25" xfId="608" xr:uid="{00000000-0005-0000-0000-00005F020000}"/>
    <cellStyle name="60% - Accent3 2 26" xfId="609" xr:uid="{00000000-0005-0000-0000-000060020000}"/>
    <cellStyle name="60% - Accent3 2 27" xfId="610" xr:uid="{00000000-0005-0000-0000-000061020000}"/>
    <cellStyle name="60% - Accent3 2 28" xfId="611" xr:uid="{00000000-0005-0000-0000-000062020000}"/>
    <cellStyle name="60% - Accent3 2 29" xfId="612" xr:uid="{00000000-0005-0000-0000-000063020000}"/>
    <cellStyle name="60% - Accent3 2 3" xfId="613" xr:uid="{00000000-0005-0000-0000-000064020000}"/>
    <cellStyle name="60% - Accent3 2 30" xfId="614" xr:uid="{00000000-0005-0000-0000-000065020000}"/>
    <cellStyle name="60% - Accent3 2 31" xfId="615" xr:uid="{00000000-0005-0000-0000-000066020000}"/>
    <cellStyle name="60% - Accent3 2 32" xfId="616" xr:uid="{00000000-0005-0000-0000-000067020000}"/>
    <cellStyle name="60% - Accent3 2 33" xfId="617" xr:uid="{00000000-0005-0000-0000-000068020000}"/>
    <cellStyle name="60% - Accent3 2 34" xfId="618" xr:uid="{00000000-0005-0000-0000-000069020000}"/>
    <cellStyle name="60% - Accent3 2 35" xfId="619" xr:uid="{00000000-0005-0000-0000-00006A020000}"/>
    <cellStyle name="60% - Accent3 2 36" xfId="620" xr:uid="{00000000-0005-0000-0000-00006B020000}"/>
    <cellStyle name="60% - Accent3 2 37" xfId="621" xr:uid="{00000000-0005-0000-0000-00006C020000}"/>
    <cellStyle name="60% - Accent3 2 38" xfId="622" xr:uid="{00000000-0005-0000-0000-00006D020000}"/>
    <cellStyle name="60% - Accent3 2 39" xfId="623" xr:uid="{00000000-0005-0000-0000-00006E020000}"/>
    <cellStyle name="60% - Accent3 2 4" xfId="624" xr:uid="{00000000-0005-0000-0000-00006F020000}"/>
    <cellStyle name="60% - Accent3 2 40" xfId="625" xr:uid="{00000000-0005-0000-0000-000070020000}"/>
    <cellStyle name="60% - Accent3 2 41" xfId="626" xr:uid="{00000000-0005-0000-0000-000071020000}"/>
    <cellStyle name="60% - Accent3 2 42" xfId="627" xr:uid="{00000000-0005-0000-0000-000072020000}"/>
    <cellStyle name="60% - Accent3 2 43" xfId="628" xr:uid="{00000000-0005-0000-0000-000073020000}"/>
    <cellStyle name="60% - Accent3 2 44" xfId="629" xr:uid="{00000000-0005-0000-0000-000074020000}"/>
    <cellStyle name="60% - Accent3 2 45" xfId="630" xr:uid="{00000000-0005-0000-0000-000075020000}"/>
    <cellStyle name="60% - Accent3 2 46" xfId="631" xr:uid="{00000000-0005-0000-0000-000076020000}"/>
    <cellStyle name="60% - Accent3 2 47" xfId="632" xr:uid="{00000000-0005-0000-0000-000077020000}"/>
    <cellStyle name="60% - Accent3 2 48" xfId="633" xr:uid="{00000000-0005-0000-0000-000078020000}"/>
    <cellStyle name="60% - Accent3 2 49" xfId="634" xr:uid="{00000000-0005-0000-0000-000079020000}"/>
    <cellStyle name="60% - Accent3 2 5" xfId="635" xr:uid="{00000000-0005-0000-0000-00007A020000}"/>
    <cellStyle name="60% - Accent3 2 6" xfId="636" xr:uid="{00000000-0005-0000-0000-00007B020000}"/>
    <cellStyle name="60% - Accent3 2 7" xfId="637" xr:uid="{00000000-0005-0000-0000-00007C020000}"/>
    <cellStyle name="60% - Accent3 2 8" xfId="638" xr:uid="{00000000-0005-0000-0000-00007D020000}"/>
    <cellStyle name="60% - Accent3 2 9" xfId="639" xr:uid="{00000000-0005-0000-0000-00007E020000}"/>
    <cellStyle name="60% - Accent4 2" xfId="640" xr:uid="{00000000-0005-0000-0000-00007F020000}"/>
    <cellStyle name="60% - Accent4 2 10" xfId="641" xr:uid="{00000000-0005-0000-0000-000080020000}"/>
    <cellStyle name="60% - Accent4 2 11" xfId="642" xr:uid="{00000000-0005-0000-0000-000081020000}"/>
    <cellStyle name="60% - Accent4 2 12" xfId="643" xr:uid="{00000000-0005-0000-0000-000082020000}"/>
    <cellStyle name="60% - Accent4 2 13" xfId="644" xr:uid="{00000000-0005-0000-0000-000083020000}"/>
    <cellStyle name="60% - Accent4 2 14" xfId="645" xr:uid="{00000000-0005-0000-0000-000084020000}"/>
    <cellStyle name="60% - Accent4 2 15" xfId="646" xr:uid="{00000000-0005-0000-0000-000085020000}"/>
    <cellStyle name="60% - Accent4 2 16" xfId="647" xr:uid="{00000000-0005-0000-0000-000086020000}"/>
    <cellStyle name="60% - Accent4 2 17" xfId="648" xr:uid="{00000000-0005-0000-0000-000087020000}"/>
    <cellStyle name="60% - Accent4 2 18" xfId="649" xr:uid="{00000000-0005-0000-0000-000088020000}"/>
    <cellStyle name="60% - Accent4 2 19" xfId="650" xr:uid="{00000000-0005-0000-0000-000089020000}"/>
    <cellStyle name="60% - Accent4 2 2" xfId="651" xr:uid="{00000000-0005-0000-0000-00008A020000}"/>
    <cellStyle name="60% - Accent4 2 20" xfId="652" xr:uid="{00000000-0005-0000-0000-00008B020000}"/>
    <cellStyle name="60% - Accent4 2 21" xfId="653" xr:uid="{00000000-0005-0000-0000-00008C020000}"/>
    <cellStyle name="60% - Accent4 2 22" xfId="654" xr:uid="{00000000-0005-0000-0000-00008D020000}"/>
    <cellStyle name="60% - Accent4 2 23" xfId="655" xr:uid="{00000000-0005-0000-0000-00008E020000}"/>
    <cellStyle name="60% - Accent4 2 24" xfId="656" xr:uid="{00000000-0005-0000-0000-00008F020000}"/>
    <cellStyle name="60% - Accent4 2 25" xfId="657" xr:uid="{00000000-0005-0000-0000-000090020000}"/>
    <cellStyle name="60% - Accent4 2 26" xfId="658" xr:uid="{00000000-0005-0000-0000-000091020000}"/>
    <cellStyle name="60% - Accent4 2 27" xfId="659" xr:uid="{00000000-0005-0000-0000-000092020000}"/>
    <cellStyle name="60% - Accent4 2 28" xfId="660" xr:uid="{00000000-0005-0000-0000-000093020000}"/>
    <cellStyle name="60% - Accent4 2 29" xfId="661" xr:uid="{00000000-0005-0000-0000-000094020000}"/>
    <cellStyle name="60% - Accent4 2 3" xfId="662" xr:uid="{00000000-0005-0000-0000-000095020000}"/>
    <cellStyle name="60% - Accent4 2 30" xfId="663" xr:uid="{00000000-0005-0000-0000-000096020000}"/>
    <cellStyle name="60% - Accent4 2 31" xfId="664" xr:uid="{00000000-0005-0000-0000-000097020000}"/>
    <cellStyle name="60% - Accent4 2 32" xfId="665" xr:uid="{00000000-0005-0000-0000-000098020000}"/>
    <cellStyle name="60% - Accent4 2 33" xfId="666" xr:uid="{00000000-0005-0000-0000-000099020000}"/>
    <cellStyle name="60% - Accent4 2 34" xfId="667" xr:uid="{00000000-0005-0000-0000-00009A020000}"/>
    <cellStyle name="60% - Accent4 2 35" xfId="668" xr:uid="{00000000-0005-0000-0000-00009B020000}"/>
    <cellStyle name="60% - Accent4 2 36" xfId="669" xr:uid="{00000000-0005-0000-0000-00009C020000}"/>
    <cellStyle name="60% - Accent4 2 37" xfId="670" xr:uid="{00000000-0005-0000-0000-00009D020000}"/>
    <cellStyle name="60% - Accent4 2 38" xfId="671" xr:uid="{00000000-0005-0000-0000-00009E020000}"/>
    <cellStyle name="60% - Accent4 2 39" xfId="672" xr:uid="{00000000-0005-0000-0000-00009F020000}"/>
    <cellStyle name="60% - Accent4 2 4" xfId="673" xr:uid="{00000000-0005-0000-0000-0000A0020000}"/>
    <cellStyle name="60% - Accent4 2 40" xfId="674" xr:uid="{00000000-0005-0000-0000-0000A1020000}"/>
    <cellStyle name="60% - Accent4 2 41" xfId="675" xr:uid="{00000000-0005-0000-0000-0000A2020000}"/>
    <cellStyle name="60% - Accent4 2 42" xfId="676" xr:uid="{00000000-0005-0000-0000-0000A3020000}"/>
    <cellStyle name="60% - Accent4 2 43" xfId="677" xr:uid="{00000000-0005-0000-0000-0000A4020000}"/>
    <cellStyle name="60% - Accent4 2 44" xfId="678" xr:uid="{00000000-0005-0000-0000-0000A5020000}"/>
    <cellStyle name="60% - Accent4 2 45" xfId="679" xr:uid="{00000000-0005-0000-0000-0000A6020000}"/>
    <cellStyle name="60% - Accent4 2 46" xfId="680" xr:uid="{00000000-0005-0000-0000-0000A7020000}"/>
    <cellStyle name="60% - Accent4 2 47" xfId="681" xr:uid="{00000000-0005-0000-0000-0000A8020000}"/>
    <cellStyle name="60% - Accent4 2 48" xfId="682" xr:uid="{00000000-0005-0000-0000-0000A9020000}"/>
    <cellStyle name="60% - Accent4 2 49" xfId="683" xr:uid="{00000000-0005-0000-0000-0000AA020000}"/>
    <cellStyle name="60% - Accent4 2 5" xfId="684" xr:uid="{00000000-0005-0000-0000-0000AB020000}"/>
    <cellStyle name="60% - Accent4 2 6" xfId="685" xr:uid="{00000000-0005-0000-0000-0000AC020000}"/>
    <cellStyle name="60% - Accent4 2 7" xfId="686" xr:uid="{00000000-0005-0000-0000-0000AD020000}"/>
    <cellStyle name="60% - Accent4 2 8" xfId="687" xr:uid="{00000000-0005-0000-0000-0000AE020000}"/>
    <cellStyle name="60% - Accent4 2 9" xfId="688" xr:uid="{00000000-0005-0000-0000-0000AF020000}"/>
    <cellStyle name="60% - Accent5 2" xfId="689" xr:uid="{00000000-0005-0000-0000-0000B0020000}"/>
    <cellStyle name="60% - Accent5 2 10" xfId="690" xr:uid="{00000000-0005-0000-0000-0000B1020000}"/>
    <cellStyle name="60% - Accent5 2 11" xfId="691" xr:uid="{00000000-0005-0000-0000-0000B2020000}"/>
    <cellStyle name="60% - Accent5 2 12" xfId="692" xr:uid="{00000000-0005-0000-0000-0000B3020000}"/>
    <cellStyle name="60% - Accent5 2 13" xfId="693" xr:uid="{00000000-0005-0000-0000-0000B4020000}"/>
    <cellStyle name="60% - Accent5 2 14" xfId="694" xr:uid="{00000000-0005-0000-0000-0000B5020000}"/>
    <cellStyle name="60% - Accent5 2 15" xfId="695" xr:uid="{00000000-0005-0000-0000-0000B6020000}"/>
    <cellStyle name="60% - Accent5 2 16" xfId="696" xr:uid="{00000000-0005-0000-0000-0000B7020000}"/>
    <cellStyle name="60% - Accent5 2 17" xfId="697" xr:uid="{00000000-0005-0000-0000-0000B8020000}"/>
    <cellStyle name="60% - Accent5 2 18" xfId="698" xr:uid="{00000000-0005-0000-0000-0000B9020000}"/>
    <cellStyle name="60% - Accent5 2 19" xfId="699" xr:uid="{00000000-0005-0000-0000-0000BA020000}"/>
    <cellStyle name="60% - Accent5 2 2" xfId="700" xr:uid="{00000000-0005-0000-0000-0000BB020000}"/>
    <cellStyle name="60% - Accent5 2 20" xfId="701" xr:uid="{00000000-0005-0000-0000-0000BC020000}"/>
    <cellStyle name="60% - Accent5 2 21" xfId="702" xr:uid="{00000000-0005-0000-0000-0000BD020000}"/>
    <cellStyle name="60% - Accent5 2 22" xfId="703" xr:uid="{00000000-0005-0000-0000-0000BE020000}"/>
    <cellStyle name="60% - Accent5 2 23" xfId="704" xr:uid="{00000000-0005-0000-0000-0000BF020000}"/>
    <cellStyle name="60% - Accent5 2 24" xfId="705" xr:uid="{00000000-0005-0000-0000-0000C0020000}"/>
    <cellStyle name="60% - Accent5 2 25" xfId="706" xr:uid="{00000000-0005-0000-0000-0000C1020000}"/>
    <cellStyle name="60% - Accent5 2 26" xfId="707" xr:uid="{00000000-0005-0000-0000-0000C2020000}"/>
    <cellStyle name="60% - Accent5 2 27" xfId="708" xr:uid="{00000000-0005-0000-0000-0000C3020000}"/>
    <cellStyle name="60% - Accent5 2 28" xfId="709" xr:uid="{00000000-0005-0000-0000-0000C4020000}"/>
    <cellStyle name="60% - Accent5 2 29" xfId="710" xr:uid="{00000000-0005-0000-0000-0000C5020000}"/>
    <cellStyle name="60% - Accent5 2 3" xfId="711" xr:uid="{00000000-0005-0000-0000-0000C6020000}"/>
    <cellStyle name="60% - Accent5 2 30" xfId="712" xr:uid="{00000000-0005-0000-0000-0000C7020000}"/>
    <cellStyle name="60% - Accent5 2 31" xfId="713" xr:uid="{00000000-0005-0000-0000-0000C8020000}"/>
    <cellStyle name="60% - Accent5 2 32" xfId="714" xr:uid="{00000000-0005-0000-0000-0000C9020000}"/>
    <cellStyle name="60% - Accent5 2 33" xfId="715" xr:uid="{00000000-0005-0000-0000-0000CA020000}"/>
    <cellStyle name="60% - Accent5 2 34" xfId="716" xr:uid="{00000000-0005-0000-0000-0000CB020000}"/>
    <cellStyle name="60% - Accent5 2 35" xfId="717" xr:uid="{00000000-0005-0000-0000-0000CC020000}"/>
    <cellStyle name="60% - Accent5 2 36" xfId="718" xr:uid="{00000000-0005-0000-0000-0000CD020000}"/>
    <cellStyle name="60% - Accent5 2 37" xfId="719" xr:uid="{00000000-0005-0000-0000-0000CE020000}"/>
    <cellStyle name="60% - Accent5 2 38" xfId="720" xr:uid="{00000000-0005-0000-0000-0000CF020000}"/>
    <cellStyle name="60% - Accent5 2 39" xfId="721" xr:uid="{00000000-0005-0000-0000-0000D0020000}"/>
    <cellStyle name="60% - Accent5 2 4" xfId="722" xr:uid="{00000000-0005-0000-0000-0000D1020000}"/>
    <cellStyle name="60% - Accent5 2 40" xfId="723" xr:uid="{00000000-0005-0000-0000-0000D2020000}"/>
    <cellStyle name="60% - Accent5 2 41" xfId="724" xr:uid="{00000000-0005-0000-0000-0000D3020000}"/>
    <cellStyle name="60% - Accent5 2 42" xfId="725" xr:uid="{00000000-0005-0000-0000-0000D4020000}"/>
    <cellStyle name="60% - Accent5 2 43" xfId="726" xr:uid="{00000000-0005-0000-0000-0000D5020000}"/>
    <cellStyle name="60% - Accent5 2 44" xfId="727" xr:uid="{00000000-0005-0000-0000-0000D6020000}"/>
    <cellStyle name="60% - Accent5 2 45" xfId="728" xr:uid="{00000000-0005-0000-0000-0000D7020000}"/>
    <cellStyle name="60% - Accent5 2 46" xfId="729" xr:uid="{00000000-0005-0000-0000-0000D8020000}"/>
    <cellStyle name="60% - Accent5 2 47" xfId="730" xr:uid="{00000000-0005-0000-0000-0000D9020000}"/>
    <cellStyle name="60% - Accent5 2 48" xfId="731" xr:uid="{00000000-0005-0000-0000-0000DA020000}"/>
    <cellStyle name="60% - Accent5 2 49" xfId="732" xr:uid="{00000000-0005-0000-0000-0000DB020000}"/>
    <cellStyle name="60% - Accent5 2 5" xfId="733" xr:uid="{00000000-0005-0000-0000-0000DC020000}"/>
    <cellStyle name="60% - Accent5 2 6" xfId="734" xr:uid="{00000000-0005-0000-0000-0000DD020000}"/>
    <cellStyle name="60% - Accent5 2 7" xfId="735" xr:uid="{00000000-0005-0000-0000-0000DE020000}"/>
    <cellStyle name="60% - Accent5 2 8" xfId="736" xr:uid="{00000000-0005-0000-0000-0000DF020000}"/>
    <cellStyle name="60% - Accent5 2 9" xfId="737" xr:uid="{00000000-0005-0000-0000-0000E0020000}"/>
    <cellStyle name="60% - Accent6 2" xfId="738" xr:uid="{00000000-0005-0000-0000-0000E1020000}"/>
    <cellStyle name="60% - Accent6 2 10" xfId="739" xr:uid="{00000000-0005-0000-0000-0000E2020000}"/>
    <cellStyle name="60% - Accent6 2 11" xfId="740" xr:uid="{00000000-0005-0000-0000-0000E3020000}"/>
    <cellStyle name="60% - Accent6 2 12" xfId="741" xr:uid="{00000000-0005-0000-0000-0000E4020000}"/>
    <cellStyle name="60% - Accent6 2 13" xfId="742" xr:uid="{00000000-0005-0000-0000-0000E5020000}"/>
    <cellStyle name="60% - Accent6 2 14" xfId="743" xr:uid="{00000000-0005-0000-0000-0000E6020000}"/>
    <cellStyle name="60% - Accent6 2 15" xfId="744" xr:uid="{00000000-0005-0000-0000-0000E7020000}"/>
    <cellStyle name="60% - Accent6 2 16" xfId="745" xr:uid="{00000000-0005-0000-0000-0000E8020000}"/>
    <cellStyle name="60% - Accent6 2 17" xfId="746" xr:uid="{00000000-0005-0000-0000-0000E9020000}"/>
    <cellStyle name="60% - Accent6 2 18" xfId="747" xr:uid="{00000000-0005-0000-0000-0000EA020000}"/>
    <cellStyle name="60% - Accent6 2 19" xfId="748" xr:uid="{00000000-0005-0000-0000-0000EB020000}"/>
    <cellStyle name="60% - Accent6 2 2" xfId="749" xr:uid="{00000000-0005-0000-0000-0000EC020000}"/>
    <cellStyle name="60% - Accent6 2 20" xfId="750" xr:uid="{00000000-0005-0000-0000-0000ED020000}"/>
    <cellStyle name="60% - Accent6 2 21" xfId="751" xr:uid="{00000000-0005-0000-0000-0000EE020000}"/>
    <cellStyle name="60% - Accent6 2 22" xfId="752" xr:uid="{00000000-0005-0000-0000-0000EF020000}"/>
    <cellStyle name="60% - Accent6 2 23" xfId="753" xr:uid="{00000000-0005-0000-0000-0000F0020000}"/>
    <cellStyle name="60% - Accent6 2 24" xfId="754" xr:uid="{00000000-0005-0000-0000-0000F1020000}"/>
    <cellStyle name="60% - Accent6 2 25" xfId="755" xr:uid="{00000000-0005-0000-0000-0000F2020000}"/>
    <cellStyle name="60% - Accent6 2 26" xfId="756" xr:uid="{00000000-0005-0000-0000-0000F3020000}"/>
    <cellStyle name="60% - Accent6 2 27" xfId="757" xr:uid="{00000000-0005-0000-0000-0000F4020000}"/>
    <cellStyle name="60% - Accent6 2 28" xfId="758" xr:uid="{00000000-0005-0000-0000-0000F5020000}"/>
    <cellStyle name="60% - Accent6 2 29" xfId="759" xr:uid="{00000000-0005-0000-0000-0000F6020000}"/>
    <cellStyle name="60% - Accent6 2 3" xfId="760" xr:uid="{00000000-0005-0000-0000-0000F7020000}"/>
    <cellStyle name="60% - Accent6 2 30" xfId="761" xr:uid="{00000000-0005-0000-0000-0000F8020000}"/>
    <cellStyle name="60% - Accent6 2 31" xfId="762" xr:uid="{00000000-0005-0000-0000-0000F9020000}"/>
    <cellStyle name="60% - Accent6 2 32" xfId="763" xr:uid="{00000000-0005-0000-0000-0000FA020000}"/>
    <cellStyle name="60% - Accent6 2 33" xfId="764" xr:uid="{00000000-0005-0000-0000-0000FB020000}"/>
    <cellStyle name="60% - Accent6 2 34" xfId="765" xr:uid="{00000000-0005-0000-0000-0000FC020000}"/>
    <cellStyle name="60% - Accent6 2 35" xfId="766" xr:uid="{00000000-0005-0000-0000-0000FD020000}"/>
    <cellStyle name="60% - Accent6 2 36" xfId="767" xr:uid="{00000000-0005-0000-0000-0000FE020000}"/>
    <cellStyle name="60% - Accent6 2 37" xfId="768" xr:uid="{00000000-0005-0000-0000-0000FF020000}"/>
    <cellStyle name="60% - Accent6 2 38" xfId="769" xr:uid="{00000000-0005-0000-0000-000000030000}"/>
    <cellStyle name="60% - Accent6 2 39" xfId="770" xr:uid="{00000000-0005-0000-0000-000001030000}"/>
    <cellStyle name="60% - Accent6 2 4" xfId="771" xr:uid="{00000000-0005-0000-0000-000002030000}"/>
    <cellStyle name="60% - Accent6 2 40" xfId="772" xr:uid="{00000000-0005-0000-0000-000003030000}"/>
    <cellStyle name="60% - Accent6 2 41" xfId="773" xr:uid="{00000000-0005-0000-0000-000004030000}"/>
    <cellStyle name="60% - Accent6 2 42" xfId="774" xr:uid="{00000000-0005-0000-0000-000005030000}"/>
    <cellStyle name="60% - Accent6 2 43" xfId="775" xr:uid="{00000000-0005-0000-0000-000006030000}"/>
    <cellStyle name="60% - Accent6 2 44" xfId="776" xr:uid="{00000000-0005-0000-0000-000007030000}"/>
    <cellStyle name="60% - Accent6 2 45" xfId="777" xr:uid="{00000000-0005-0000-0000-000008030000}"/>
    <cellStyle name="60% - Accent6 2 46" xfId="778" xr:uid="{00000000-0005-0000-0000-000009030000}"/>
    <cellStyle name="60% - Accent6 2 47" xfId="779" xr:uid="{00000000-0005-0000-0000-00000A030000}"/>
    <cellStyle name="60% - Accent6 2 48" xfId="780" xr:uid="{00000000-0005-0000-0000-00000B030000}"/>
    <cellStyle name="60% - Accent6 2 49" xfId="781" xr:uid="{00000000-0005-0000-0000-00000C030000}"/>
    <cellStyle name="60% - Accent6 2 5" xfId="782" xr:uid="{00000000-0005-0000-0000-00000D030000}"/>
    <cellStyle name="60% - Accent6 2 6" xfId="783" xr:uid="{00000000-0005-0000-0000-00000E030000}"/>
    <cellStyle name="60% - Accent6 2 7" xfId="784" xr:uid="{00000000-0005-0000-0000-00000F030000}"/>
    <cellStyle name="60% - Accent6 2 8" xfId="785" xr:uid="{00000000-0005-0000-0000-000010030000}"/>
    <cellStyle name="60% - Accent6 2 9" xfId="786" xr:uid="{00000000-0005-0000-0000-000011030000}"/>
    <cellStyle name="Accent1 2" xfId="787" xr:uid="{00000000-0005-0000-0000-000012030000}"/>
    <cellStyle name="Accent1 2 10" xfId="788" xr:uid="{00000000-0005-0000-0000-000013030000}"/>
    <cellStyle name="Accent1 2 11" xfId="789" xr:uid="{00000000-0005-0000-0000-000014030000}"/>
    <cellStyle name="Accent1 2 12" xfId="790" xr:uid="{00000000-0005-0000-0000-000015030000}"/>
    <cellStyle name="Accent1 2 13" xfId="791" xr:uid="{00000000-0005-0000-0000-000016030000}"/>
    <cellStyle name="Accent1 2 14" xfId="792" xr:uid="{00000000-0005-0000-0000-000017030000}"/>
    <cellStyle name="Accent1 2 15" xfId="793" xr:uid="{00000000-0005-0000-0000-000018030000}"/>
    <cellStyle name="Accent1 2 16" xfId="794" xr:uid="{00000000-0005-0000-0000-000019030000}"/>
    <cellStyle name="Accent1 2 17" xfId="795" xr:uid="{00000000-0005-0000-0000-00001A030000}"/>
    <cellStyle name="Accent1 2 18" xfId="796" xr:uid="{00000000-0005-0000-0000-00001B030000}"/>
    <cellStyle name="Accent1 2 19" xfId="797" xr:uid="{00000000-0005-0000-0000-00001C030000}"/>
    <cellStyle name="Accent1 2 2" xfId="798" xr:uid="{00000000-0005-0000-0000-00001D030000}"/>
    <cellStyle name="Accent1 2 20" xfId="799" xr:uid="{00000000-0005-0000-0000-00001E030000}"/>
    <cellStyle name="Accent1 2 21" xfId="800" xr:uid="{00000000-0005-0000-0000-00001F030000}"/>
    <cellStyle name="Accent1 2 22" xfId="801" xr:uid="{00000000-0005-0000-0000-000020030000}"/>
    <cellStyle name="Accent1 2 23" xfId="802" xr:uid="{00000000-0005-0000-0000-000021030000}"/>
    <cellStyle name="Accent1 2 24" xfId="803" xr:uid="{00000000-0005-0000-0000-000022030000}"/>
    <cellStyle name="Accent1 2 25" xfId="804" xr:uid="{00000000-0005-0000-0000-000023030000}"/>
    <cellStyle name="Accent1 2 26" xfId="805" xr:uid="{00000000-0005-0000-0000-000024030000}"/>
    <cellStyle name="Accent1 2 27" xfId="806" xr:uid="{00000000-0005-0000-0000-000025030000}"/>
    <cellStyle name="Accent1 2 28" xfId="807" xr:uid="{00000000-0005-0000-0000-000026030000}"/>
    <cellStyle name="Accent1 2 29" xfId="808" xr:uid="{00000000-0005-0000-0000-000027030000}"/>
    <cellStyle name="Accent1 2 3" xfId="809" xr:uid="{00000000-0005-0000-0000-000028030000}"/>
    <cellStyle name="Accent1 2 30" xfId="810" xr:uid="{00000000-0005-0000-0000-000029030000}"/>
    <cellStyle name="Accent1 2 31" xfId="811" xr:uid="{00000000-0005-0000-0000-00002A030000}"/>
    <cellStyle name="Accent1 2 32" xfId="812" xr:uid="{00000000-0005-0000-0000-00002B030000}"/>
    <cellStyle name="Accent1 2 33" xfId="813" xr:uid="{00000000-0005-0000-0000-00002C030000}"/>
    <cellStyle name="Accent1 2 34" xfId="814" xr:uid="{00000000-0005-0000-0000-00002D030000}"/>
    <cellStyle name="Accent1 2 35" xfId="815" xr:uid="{00000000-0005-0000-0000-00002E030000}"/>
    <cellStyle name="Accent1 2 36" xfId="816" xr:uid="{00000000-0005-0000-0000-00002F030000}"/>
    <cellStyle name="Accent1 2 37" xfId="817" xr:uid="{00000000-0005-0000-0000-000030030000}"/>
    <cellStyle name="Accent1 2 38" xfId="818" xr:uid="{00000000-0005-0000-0000-000031030000}"/>
    <cellStyle name="Accent1 2 39" xfId="819" xr:uid="{00000000-0005-0000-0000-000032030000}"/>
    <cellStyle name="Accent1 2 4" xfId="820" xr:uid="{00000000-0005-0000-0000-000033030000}"/>
    <cellStyle name="Accent1 2 40" xfId="821" xr:uid="{00000000-0005-0000-0000-000034030000}"/>
    <cellStyle name="Accent1 2 41" xfId="822" xr:uid="{00000000-0005-0000-0000-000035030000}"/>
    <cellStyle name="Accent1 2 42" xfId="823" xr:uid="{00000000-0005-0000-0000-000036030000}"/>
    <cellStyle name="Accent1 2 43" xfId="824" xr:uid="{00000000-0005-0000-0000-000037030000}"/>
    <cellStyle name="Accent1 2 44" xfId="825" xr:uid="{00000000-0005-0000-0000-000038030000}"/>
    <cellStyle name="Accent1 2 45" xfId="826" xr:uid="{00000000-0005-0000-0000-000039030000}"/>
    <cellStyle name="Accent1 2 46" xfId="827" xr:uid="{00000000-0005-0000-0000-00003A030000}"/>
    <cellStyle name="Accent1 2 47" xfId="828" xr:uid="{00000000-0005-0000-0000-00003B030000}"/>
    <cellStyle name="Accent1 2 48" xfId="829" xr:uid="{00000000-0005-0000-0000-00003C030000}"/>
    <cellStyle name="Accent1 2 49" xfId="830" xr:uid="{00000000-0005-0000-0000-00003D030000}"/>
    <cellStyle name="Accent1 2 5" xfId="831" xr:uid="{00000000-0005-0000-0000-00003E030000}"/>
    <cellStyle name="Accent1 2 6" xfId="832" xr:uid="{00000000-0005-0000-0000-00003F030000}"/>
    <cellStyle name="Accent1 2 7" xfId="833" xr:uid="{00000000-0005-0000-0000-000040030000}"/>
    <cellStyle name="Accent1 2 8" xfId="834" xr:uid="{00000000-0005-0000-0000-000041030000}"/>
    <cellStyle name="Accent1 2 9" xfId="835" xr:uid="{00000000-0005-0000-0000-000042030000}"/>
    <cellStyle name="Accent2 2" xfId="836" xr:uid="{00000000-0005-0000-0000-000043030000}"/>
    <cellStyle name="Accent2 2 10" xfId="837" xr:uid="{00000000-0005-0000-0000-000044030000}"/>
    <cellStyle name="Accent2 2 11" xfId="838" xr:uid="{00000000-0005-0000-0000-000045030000}"/>
    <cellStyle name="Accent2 2 12" xfId="839" xr:uid="{00000000-0005-0000-0000-000046030000}"/>
    <cellStyle name="Accent2 2 13" xfId="840" xr:uid="{00000000-0005-0000-0000-000047030000}"/>
    <cellStyle name="Accent2 2 14" xfId="841" xr:uid="{00000000-0005-0000-0000-000048030000}"/>
    <cellStyle name="Accent2 2 15" xfId="842" xr:uid="{00000000-0005-0000-0000-000049030000}"/>
    <cellStyle name="Accent2 2 16" xfId="843" xr:uid="{00000000-0005-0000-0000-00004A030000}"/>
    <cellStyle name="Accent2 2 17" xfId="844" xr:uid="{00000000-0005-0000-0000-00004B030000}"/>
    <cellStyle name="Accent2 2 18" xfId="845" xr:uid="{00000000-0005-0000-0000-00004C030000}"/>
    <cellStyle name="Accent2 2 19" xfId="846" xr:uid="{00000000-0005-0000-0000-00004D030000}"/>
    <cellStyle name="Accent2 2 2" xfId="847" xr:uid="{00000000-0005-0000-0000-00004E030000}"/>
    <cellStyle name="Accent2 2 20" xfId="848" xr:uid="{00000000-0005-0000-0000-00004F030000}"/>
    <cellStyle name="Accent2 2 21" xfId="849" xr:uid="{00000000-0005-0000-0000-000050030000}"/>
    <cellStyle name="Accent2 2 22" xfId="850" xr:uid="{00000000-0005-0000-0000-000051030000}"/>
    <cellStyle name="Accent2 2 23" xfId="851" xr:uid="{00000000-0005-0000-0000-000052030000}"/>
    <cellStyle name="Accent2 2 24" xfId="852" xr:uid="{00000000-0005-0000-0000-000053030000}"/>
    <cellStyle name="Accent2 2 25" xfId="853" xr:uid="{00000000-0005-0000-0000-000054030000}"/>
    <cellStyle name="Accent2 2 26" xfId="854" xr:uid="{00000000-0005-0000-0000-000055030000}"/>
    <cellStyle name="Accent2 2 27" xfId="855" xr:uid="{00000000-0005-0000-0000-000056030000}"/>
    <cellStyle name="Accent2 2 28" xfId="856" xr:uid="{00000000-0005-0000-0000-000057030000}"/>
    <cellStyle name="Accent2 2 29" xfId="857" xr:uid="{00000000-0005-0000-0000-000058030000}"/>
    <cellStyle name="Accent2 2 3" xfId="858" xr:uid="{00000000-0005-0000-0000-000059030000}"/>
    <cellStyle name="Accent2 2 30" xfId="859" xr:uid="{00000000-0005-0000-0000-00005A030000}"/>
    <cellStyle name="Accent2 2 31" xfId="860" xr:uid="{00000000-0005-0000-0000-00005B030000}"/>
    <cellStyle name="Accent2 2 32" xfId="861" xr:uid="{00000000-0005-0000-0000-00005C030000}"/>
    <cellStyle name="Accent2 2 33" xfId="862" xr:uid="{00000000-0005-0000-0000-00005D030000}"/>
    <cellStyle name="Accent2 2 34" xfId="863" xr:uid="{00000000-0005-0000-0000-00005E030000}"/>
    <cellStyle name="Accent2 2 35" xfId="864" xr:uid="{00000000-0005-0000-0000-00005F030000}"/>
    <cellStyle name="Accent2 2 36" xfId="865" xr:uid="{00000000-0005-0000-0000-000060030000}"/>
    <cellStyle name="Accent2 2 37" xfId="866" xr:uid="{00000000-0005-0000-0000-000061030000}"/>
    <cellStyle name="Accent2 2 38" xfId="867" xr:uid="{00000000-0005-0000-0000-000062030000}"/>
    <cellStyle name="Accent2 2 39" xfId="868" xr:uid="{00000000-0005-0000-0000-000063030000}"/>
    <cellStyle name="Accent2 2 4" xfId="869" xr:uid="{00000000-0005-0000-0000-000064030000}"/>
    <cellStyle name="Accent2 2 40" xfId="870" xr:uid="{00000000-0005-0000-0000-000065030000}"/>
    <cellStyle name="Accent2 2 41" xfId="871" xr:uid="{00000000-0005-0000-0000-000066030000}"/>
    <cellStyle name="Accent2 2 42" xfId="872" xr:uid="{00000000-0005-0000-0000-000067030000}"/>
    <cellStyle name="Accent2 2 43" xfId="873" xr:uid="{00000000-0005-0000-0000-000068030000}"/>
    <cellStyle name="Accent2 2 44" xfId="874" xr:uid="{00000000-0005-0000-0000-000069030000}"/>
    <cellStyle name="Accent2 2 45" xfId="875" xr:uid="{00000000-0005-0000-0000-00006A030000}"/>
    <cellStyle name="Accent2 2 46" xfId="876" xr:uid="{00000000-0005-0000-0000-00006B030000}"/>
    <cellStyle name="Accent2 2 47" xfId="877" xr:uid="{00000000-0005-0000-0000-00006C030000}"/>
    <cellStyle name="Accent2 2 48" xfId="878" xr:uid="{00000000-0005-0000-0000-00006D030000}"/>
    <cellStyle name="Accent2 2 49" xfId="879" xr:uid="{00000000-0005-0000-0000-00006E030000}"/>
    <cellStyle name="Accent2 2 5" xfId="880" xr:uid="{00000000-0005-0000-0000-00006F030000}"/>
    <cellStyle name="Accent2 2 6" xfId="881" xr:uid="{00000000-0005-0000-0000-000070030000}"/>
    <cellStyle name="Accent2 2 7" xfId="882" xr:uid="{00000000-0005-0000-0000-000071030000}"/>
    <cellStyle name="Accent2 2 8" xfId="883" xr:uid="{00000000-0005-0000-0000-000072030000}"/>
    <cellStyle name="Accent2 2 9" xfId="884" xr:uid="{00000000-0005-0000-0000-000073030000}"/>
    <cellStyle name="Accent3 2" xfId="885" xr:uid="{00000000-0005-0000-0000-000074030000}"/>
    <cellStyle name="Accent3 2 10" xfId="886" xr:uid="{00000000-0005-0000-0000-000075030000}"/>
    <cellStyle name="Accent3 2 11" xfId="887" xr:uid="{00000000-0005-0000-0000-000076030000}"/>
    <cellStyle name="Accent3 2 12" xfId="888" xr:uid="{00000000-0005-0000-0000-000077030000}"/>
    <cellStyle name="Accent3 2 13" xfId="889" xr:uid="{00000000-0005-0000-0000-000078030000}"/>
    <cellStyle name="Accent3 2 14" xfId="890" xr:uid="{00000000-0005-0000-0000-000079030000}"/>
    <cellStyle name="Accent3 2 15" xfId="891" xr:uid="{00000000-0005-0000-0000-00007A030000}"/>
    <cellStyle name="Accent3 2 16" xfId="892" xr:uid="{00000000-0005-0000-0000-00007B030000}"/>
    <cellStyle name="Accent3 2 17" xfId="893" xr:uid="{00000000-0005-0000-0000-00007C030000}"/>
    <cellStyle name="Accent3 2 18" xfId="894" xr:uid="{00000000-0005-0000-0000-00007D030000}"/>
    <cellStyle name="Accent3 2 19" xfId="895" xr:uid="{00000000-0005-0000-0000-00007E030000}"/>
    <cellStyle name="Accent3 2 2" xfId="896" xr:uid="{00000000-0005-0000-0000-00007F030000}"/>
    <cellStyle name="Accent3 2 20" xfId="897" xr:uid="{00000000-0005-0000-0000-000080030000}"/>
    <cellStyle name="Accent3 2 21" xfId="898" xr:uid="{00000000-0005-0000-0000-000081030000}"/>
    <cellStyle name="Accent3 2 22" xfId="899" xr:uid="{00000000-0005-0000-0000-000082030000}"/>
    <cellStyle name="Accent3 2 23" xfId="900" xr:uid="{00000000-0005-0000-0000-000083030000}"/>
    <cellStyle name="Accent3 2 24" xfId="901" xr:uid="{00000000-0005-0000-0000-000084030000}"/>
    <cellStyle name="Accent3 2 25" xfId="902" xr:uid="{00000000-0005-0000-0000-000085030000}"/>
    <cellStyle name="Accent3 2 26" xfId="903" xr:uid="{00000000-0005-0000-0000-000086030000}"/>
    <cellStyle name="Accent3 2 27" xfId="904" xr:uid="{00000000-0005-0000-0000-000087030000}"/>
    <cellStyle name="Accent3 2 28" xfId="905" xr:uid="{00000000-0005-0000-0000-000088030000}"/>
    <cellStyle name="Accent3 2 29" xfId="906" xr:uid="{00000000-0005-0000-0000-000089030000}"/>
    <cellStyle name="Accent3 2 3" xfId="907" xr:uid="{00000000-0005-0000-0000-00008A030000}"/>
    <cellStyle name="Accent3 2 30" xfId="908" xr:uid="{00000000-0005-0000-0000-00008B030000}"/>
    <cellStyle name="Accent3 2 31" xfId="909" xr:uid="{00000000-0005-0000-0000-00008C030000}"/>
    <cellStyle name="Accent3 2 32" xfId="910" xr:uid="{00000000-0005-0000-0000-00008D030000}"/>
    <cellStyle name="Accent3 2 33" xfId="911" xr:uid="{00000000-0005-0000-0000-00008E030000}"/>
    <cellStyle name="Accent3 2 34" xfId="912" xr:uid="{00000000-0005-0000-0000-00008F030000}"/>
    <cellStyle name="Accent3 2 35" xfId="913" xr:uid="{00000000-0005-0000-0000-000090030000}"/>
    <cellStyle name="Accent3 2 36" xfId="914" xr:uid="{00000000-0005-0000-0000-000091030000}"/>
    <cellStyle name="Accent3 2 37" xfId="915" xr:uid="{00000000-0005-0000-0000-000092030000}"/>
    <cellStyle name="Accent3 2 38" xfId="916" xr:uid="{00000000-0005-0000-0000-000093030000}"/>
    <cellStyle name="Accent3 2 39" xfId="917" xr:uid="{00000000-0005-0000-0000-000094030000}"/>
    <cellStyle name="Accent3 2 4" xfId="918" xr:uid="{00000000-0005-0000-0000-000095030000}"/>
    <cellStyle name="Accent3 2 40" xfId="919" xr:uid="{00000000-0005-0000-0000-000096030000}"/>
    <cellStyle name="Accent3 2 41" xfId="920" xr:uid="{00000000-0005-0000-0000-000097030000}"/>
    <cellStyle name="Accent3 2 42" xfId="921" xr:uid="{00000000-0005-0000-0000-000098030000}"/>
    <cellStyle name="Accent3 2 43" xfId="922" xr:uid="{00000000-0005-0000-0000-000099030000}"/>
    <cellStyle name="Accent3 2 44" xfId="923" xr:uid="{00000000-0005-0000-0000-00009A030000}"/>
    <cellStyle name="Accent3 2 45" xfId="924" xr:uid="{00000000-0005-0000-0000-00009B030000}"/>
    <cellStyle name="Accent3 2 46" xfId="925" xr:uid="{00000000-0005-0000-0000-00009C030000}"/>
    <cellStyle name="Accent3 2 47" xfId="926" xr:uid="{00000000-0005-0000-0000-00009D030000}"/>
    <cellStyle name="Accent3 2 48" xfId="927" xr:uid="{00000000-0005-0000-0000-00009E030000}"/>
    <cellStyle name="Accent3 2 49" xfId="928" xr:uid="{00000000-0005-0000-0000-00009F030000}"/>
    <cellStyle name="Accent3 2 5" xfId="929" xr:uid="{00000000-0005-0000-0000-0000A0030000}"/>
    <cellStyle name="Accent3 2 6" xfId="930" xr:uid="{00000000-0005-0000-0000-0000A1030000}"/>
    <cellStyle name="Accent3 2 7" xfId="931" xr:uid="{00000000-0005-0000-0000-0000A2030000}"/>
    <cellStyle name="Accent3 2 8" xfId="932" xr:uid="{00000000-0005-0000-0000-0000A3030000}"/>
    <cellStyle name="Accent3 2 9" xfId="933" xr:uid="{00000000-0005-0000-0000-0000A4030000}"/>
    <cellStyle name="Accent4 2" xfId="934" xr:uid="{00000000-0005-0000-0000-0000A5030000}"/>
    <cellStyle name="Accent4 2 10" xfId="935" xr:uid="{00000000-0005-0000-0000-0000A6030000}"/>
    <cellStyle name="Accent4 2 11" xfId="936" xr:uid="{00000000-0005-0000-0000-0000A7030000}"/>
    <cellStyle name="Accent4 2 12" xfId="937" xr:uid="{00000000-0005-0000-0000-0000A8030000}"/>
    <cellStyle name="Accent4 2 13" xfId="938" xr:uid="{00000000-0005-0000-0000-0000A9030000}"/>
    <cellStyle name="Accent4 2 14" xfId="939" xr:uid="{00000000-0005-0000-0000-0000AA030000}"/>
    <cellStyle name="Accent4 2 15" xfId="940" xr:uid="{00000000-0005-0000-0000-0000AB030000}"/>
    <cellStyle name="Accent4 2 16" xfId="941" xr:uid="{00000000-0005-0000-0000-0000AC030000}"/>
    <cellStyle name="Accent4 2 17" xfId="942" xr:uid="{00000000-0005-0000-0000-0000AD030000}"/>
    <cellStyle name="Accent4 2 18" xfId="943" xr:uid="{00000000-0005-0000-0000-0000AE030000}"/>
    <cellStyle name="Accent4 2 19" xfId="944" xr:uid="{00000000-0005-0000-0000-0000AF030000}"/>
    <cellStyle name="Accent4 2 2" xfId="945" xr:uid="{00000000-0005-0000-0000-0000B0030000}"/>
    <cellStyle name="Accent4 2 20" xfId="946" xr:uid="{00000000-0005-0000-0000-0000B1030000}"/>
    <cellStyle name="Accent4 2 21" xfId="947" xr:uid="{00000000-0005-0000-0000-0000B2030000}"/>
    <cellStyle name="Accent4 2 22" xfId="948" xr:uid="{00000000-0005-0000-0000-0000B3030000}"/>
    <cellStyle name="Accent4 2 23" xfId="949" xr:uid="{00000000-0005-0000-0000-0000B4030000}"/>
    <cellStyle name="Accent4 2 24" xfId="950" xr:uid="{00000000-0005-0000-0000-0000B5030000}"/>
    <cellStyle name="Accent4 2 25" xfId="951" xr:uid="{00000000-0005-0000-0000-0000B6030000}"/>
    <cellStyle name="Accent4 2 26" xfId="952" xr:uid="{00000000-0005-0000-0000-0000B7030000}"/>
    <cellStyle name="Accent4 2 27" xfId="953" xr:uid="{00000000-0005-0000-0000-0000B8030000}"/>
    <cellStyle name="Accent4 2 28" xfId="954" xr:uid="{00000000-0005-0000-0000-0000B9030000}"/>
    <cellStyle name="Accent4 2 29" xfId="955" xr:uid="{00000000-0005-0000-0000-0000BA030000}"/>
    <cellStyle name="Accent4 2 3" xfId="956" xr:uid="{00000000-0005-0000-0000-0000BB030000}"/>
    <cellStyle name="Accent4 2 30" xfId="957" xr:uid="{00000000-0005-0000-0000-0000BC030000}"/>
    <cellStyle name="Accent4 2 31" xfId="958" xr:uid="{00000000-0005-0000-0000-0000BD030000}"/>
    <cellStyle name="Accent4 2 32" xfId="959" xr:uid="{00000000-0005-0000-0000-0000BE030000}"/>
    <cellStyle name="Accent4 2 33" xfId="960" xr:uid="{00000000-0005-0000-0000-0000BF030000}"/>
    <cellStyle name="Accent4 2 34" xfId="961" xr:uid="{00000000-0005-0000-0000-0000C0030000}"/>
    <cellStyle name="Accent4 2 35" xfId="962" xr:uid="{00000000-0005-0000-0000-0000C1030000}"/>
    <cellStyle name="Accent4 2 36" xfId="963" xr:uid="{00000000-0005-0000-0000-0000C2030000}"/>
    <cellStyle name="Accent4 2 37" xfId="964" xr:uid="{00000000-0005-0000-0000-0000C3030000}"/>
    <cellStyle name="Accent4 2 38" xfId="965" xr:uid="{00000000-0005-0000-0000-0000C4030000}"/>
    <cellStyle name="Accent4 2 39" xfId="966" xr:uid="{00000000-0005-0000-0000-0000C5030000}"/>
    <cellStyle name="Accent4 2 4" xfId="967" xr:uid="{00000000-0005-0000-0000-0000C6030000}"/>
    <cellStyle name="Accent4 2 40" xfId="968" xr:uid="{00000000-0005-0000-0000-0000C7030000}"/>
    <cellStyle name="Accent4 2 41" xfId="969" xr:uid="{00000000-0005-0000-0000-0000C8030000}"/>
    <cellStyle name="Accent4 2 42" xfId="970" xr:uid="{00000000-0005-0000-0000-0000C9030000}"/>
    <cellStyle name="Accent4 2 43" xfId="971" xr:uid="{00000000-0005-0000-0000-0000CA030000}"/>
    <cellStyle name="Accent4 2 44" xfId="972" xr:uid="{00000000-0005-0000-0000-0000CB030000}"/>
    <cellStyle name="Accent4 2 45" xfId="973" xr:uid="{00000000-0005-0000-0000-0000CC030000}"/>
    <cellStyle name="Accent4 2 46" xfId="974" xr:uid="{00000000-0005-0000-0000-0000CD030000}"/>
    <cellStyle name="Accent4 2 47" xfId="975" xr:uid="{00000000-0005-0000-0000-0000CE030000}"/>
    <cellStyle name="Accent4 2 48" xfId="976" xr:uid="{00000000-0005-0000-0000-0000CF030000}"/>
    <cellStyle name="Accent4 2 49" xfId="977" xr:uid="{00000000-0005-0000-0000-0000D0030000}"/>
    <cellStyle name="Accent4 2 5" xfId="978" xr:uid="{00000000-0005-0000-0000-0000D1030000}"/>
    <cellStyle name="Accent4 2 6" xfId="979" xr:uid="{00000000-0005-0000-0000-0000D2030000}"/>
    <cellStyle name="Accent4 2 7" xfId="980" xr:uid="{00000000-0005-0000-0000-0000D3030000}"/>
    <cellStyle name="Accent4 2 8" xfId="981" xr:uid="{00000000-0005-0000-0000-0000D4030000}"/>
    <cellStyle name="Accent4 2 9" xfId="982" xr:uid="{00000000-0005-0000-0000-0000D5030000}"/>
    <cellStyle name="Accent5" xfId="983" builtinId="45" customBuiltin="1"/>
    <cellStyle name="Accent6 2" xfId="984" xr:uid="{00000000-0005-0000-0000-0000D7030000}"/>
    <cellStyle name="Accent6 2 10" xfId="985" xr:uid="{00000000-0005-0000-0000-0000D8030000}"/>
    <cellStyle name="Accent6 2 11" xfId="986" xr:uid="{00000000-0005-0000-0000-0000D9030000}"/>
    <cellStyle name="Accent6 2 12" xfId="987" xr:uid="{00000000-0005-0000-0000-0000DA030000}"/>
    <cellStyle name="Accent6 2 13" xfId="988" xr:uid="{00000000-0005-0000-0000-0000DB030000}"/>
    <cellStyle name="Accent6 2 14" xfId="989" xr:uid="{00000000-0005-0000-0000-0000DC030000}"/>
    <cellStyle name="Accent6 2 15" xfId="990" xr:uid="{00000000-0005-0000-0000-0000DD030000}"/>
    <cellStyle name="Accent6 2 16" xfId="991" xr:uid="{00000000-0005-0000-0000-0000DE030000}"/>
    <cellStyle name="Accent6 2 17" xfId="992" xr:uid="{00000000-0005-0000-0000-0000DF030000}"/>
    <cellStyle name="Accent6 2 18" xfId="993" xr:uid="{00000000-0005-0000-0000-0000E0030000}"/>
    <cellStyle name="Accent6 2 19" xfId="994" xr:uid="{00000000-0005-0000-0000-0000E1030000}"/>
    <cellStyle name="Accent6 2 2" xfId="995" xr:uid="{00000000-0005-0000-0000-0000E2030000}"/>
    <cellStyle name="Accent6 2 20" xfId="996" xr:uid="{00000000-0005-0000-0000-0000E3030000}"/>
    <cellStyle name="Accent6 2 21" xfId="997" xr:uid="{00000000-0005-0000-0000-0000E4030000}"/>
    <cellStyle name="Accent6 2 22" xfId="998" xr:uid="{00000000-0005-0000-0000-0000E5030000}"/>
    <cellStyle name="Accent6 2 23" xfId="999" xr:uid="{00000000-0005-0000-0000-0000E6030000}"/>
    <cellStyle name="Accent6 2 24" xfId="1000" xr:uid="{00000000-0005-0000-0000-0000E7030000}"/>
    <cellStyle name="Accent6 2 25" xfId="1001" xr:uid="{00000000-0005-0000-0000-0000E8030000}"/>
    <cellStyle name="Accent6 2 26" xfId="1002" xr:uid="{00000000-0005-0000-0000-0000E9030000}"/>
    <cellStyle name="Accent6 2 27" xfId="1003" xr:uid="{00000000-0005-0000-0000-0000EA030000}"/>
    <cellStyle name="Accent6 2 28" xfId="1004" xr:uid="{00000000-0005-0000-0000-0000EB030000}"/>
    <cellStyle name="Accent6 2 29" xfId="1005" xr:uid="{00000000-0005-0000-0000-0000EC030000}"/>
    <cellStyle name="Accent6 2 3" xfId="1006" xr:uid="{00000000-0005-0000-0000-0000ED030000}"/>
    <cellStyle name="Accent6 2 30" xfId="1007" xr:uid="{00000000-0005-0000-0000-0000EE030000}"/>
    <cellStyle name="Accent6 2 31" xfId="1008" xr:uid="{00000000-0005-0000-0000-0000EF030000}"/>
    <cellStyle name="Accent6 2 32" xfId="1009" xr:uid="{00000000-0005-0000-0000-0000F0030000}"/>
    <cellStyle name="Accent6 2 33" xfId="1010" xr:uid="{00000000-0005-0000-0000-0000F1030000}"/>
    <cellStyle name="Accent6 2 34" xfId="1011" xr:uid="{00000000-0005-0000-0000-0000F2030000}"/>
    <cellStyle name="Accent6 2 35" xfId="1012" xr:uid="{00000000-0005-0000-0000-0000F3030000}"/>
    <cellStyle name="Accent6 2 36" xfId="1013" xr:uid="{00000000-0005-0000-0000-0000F4030000}"/>
    <cellStyle name="Accent6 2 37" xfId="1014" xr:uid="{00000000-0005-0000-0000-0000F5030000}"/>
    <cellStyle name="Accent6 2 38" xfId="1015" xr:uid="{00000000-0005-0000-0000-0000F6030000}"/>
    <cellStyle name="Accent6 2 39" xfId="1016" xr:uid="{00000000-0005-0000-0000-0000F7030000}"/>
    <cellStyle name="Accent6 2 4" xfId="1017" xr:uid="{00000000-0005-0000-0000-0000F8030000}"/>
    <cellStyle name="Accent6 2 40" xfId="1018" xr:uid="{00000000-0005-0000-0000-0000F9030000}"/>
    <cellStyle name="Accent6 2 41" xfId="1019" xr:uid="{00000000-0005-0000-0000-0000FA030000}"/>
    <cellStyle name="Accent6 2 42" xfId="1020" xr:uid="{00000000-0005-0000-0000-0000FB030000}"/>
    <cellStyle name="Accent6 2 43" xfId="1021" xr:uid="{00000000-0005-0000-0000-0000FC030000}"/>
    <cellStyle name="Accent6 2 44" xfId="1022" xr:uid="{00000000-0005-0000-0000-0000FD030000}"/>
    <cellStyle name="Accent6 2 45" xfId="1023" xr:uid="{00000000-0005-0000-0000-0000FE030000}"/>
    <cellStyle name="Accent6 2 46" xfId="1024" xr:uid="{00000000-0005-0000-0000-0000FF030000}"/>
    <cellStyle name="Accent6 2 47" xfId="1025" xr:uid="{00000000-0005-0000-0000-000000040000}"/>
    <cellStyle name="Accent6 2 48" xfId="1026" xr:uid="{00000000-0005-0000-0000-000001040000}"/>
    <cellStyle name="Accent6 2 49" xfId="1027" xr:uid="{00000000-0005-0000-0000-000002040000}"/>
    <cellStyle name="Accent6 2 5" xfId="1028" xr:uid="{00000000-0005-0000-0000-000003040000}"/>
    <cellStyle name="Accent6 2 6" xfId="1029" xr:uid="{00000000-0005-0000-0000-000004040000}"/>
    <cellStyle name="Accent6 2 7" xfId="1030" xr:uid="{00000000-0005-0000-0000-000005040000}"/>
    <cellStyle name="Accent6 2 8" xfId="1031" xr:uid="{00000000-0005-0000-0000-000006040000}"/>
    <cellStyle name="Accent6 2 9" xfId="1032" xr:uid="{00000000-0005-0000-0000-000007040000}"/>
    <cellStyle name="Bad 2" xfId="1033" xr:uid="{00000000-0005-0000-0000-000008040000}"/>
    <cellStyle name="Bad 2 10" xfId="1034" xr:uid="{00000000-0005-0000-0000-000009040000}"/>
    <cellStyle name="Bad 2 11" xfId="1035" xr:uid="{00000000-0005-0000-0000-00000A040000}"/>
    <cellStyle name="Bad 2 12" xfId="1036" xr:uid="{00000000-0005-0000-0000-00000B040000}"/>
    <cellStyle name="Bad 2 13" xfId="1037" xr:uid="{00000000-0005-0000-0000-00000C040000}"/>
    <cellStyle name="Bad 2 14" xfId="1038" xr:uid="{00000000-0005-0000-0000-00000D040000}"/>
    <cellStyle name="Bad 2 15" xfId="1039" xr:uid="{00000000-0005-0000-0000-00000E040000}"/>
    <cellStyle name="Bad 2 16" xfId="1040" xr:uid="{00000000-0005-0000-0000-00000F040000}"/>
    <cellStyle name="Bad 2 17" xfId="1041" xr:uid="{00000000-0005-0000-0000-000010040000}"/>
    <cellStyle name="Bad 2 18" xfId="1042" xr:uid="{00000000-0005-0000-0000-000011040000}"/>
    <cellStyle name="Bad 2 19" xfId="1043" xr:uid="{00000000-0005-0000-0000-000012040000}"/>
    <cellStyle name="Bad 2 2" xfId="1044" xr:uid="{00000000-0005-0000-0000-000013040000}"/>
    <cellStyle name="Bad 2 20" xfId="1045" xr:uid="{00000000-0005-0000-0000-000014040000}"/>
    <cellStyle name="Bad 2 21" xfId="1046" xr:uid="{00000000-0005-0000-0000-000015040000}"/>
    <cellStyle name="Bad 2 22" xfId="1047" xr:uid="{00000000-0005-0000-0000-000016040000}"/>
    <cellStyle name="Bad 2 23" xfId="1048" xr:uid="{00000000-0005-0000-0000-000017040000}"/>
    <cellStyle name="Bad 2 24" xfId="1049" xr:uid="{00000000-0005-0000-0000-000018040000}"/>
    <cellStyle name="Bad 2 25" xfId="1050" xr:uid="{00000000-0005-0000-0000-000019040000}"/>
    <cellStyle name="Bad 2 26" xfId="1051" xr:uid="{00000000-0005-0000-0000-00001A040000}"/>
    <cellStyle name="Bad 2 27" xfId="1052" xr:uid="{00000000-0005-0000-0000-00001B040000}"/>
    <cellStyle name="Bad 2 28" xfId="1053" xr:uid="{00000000-0005-0000-0000-00001C040000}"/>
    <cellStyle name="Bad 2 29" xfId="1054" xr:uid="{00000000-0005-0000-0000-00001D040000}"/>
    <cellStyle name="Bad 2 3" xfId="1055" xr:uid="{00000000-0005-0000-0000-00001E040000}"/>
    <cellStyle name="Bad 2 30" xfId="1056" xr:uid="{00000000-0005-0000-0000-00001F040000}"/>
    <cellStyle name="Bad 2 31" xfId="1057" xr:uid="{00000000-0005-0000-0000-000020040000}"/>
    <cellStyle name="Bad 2 32" xfId="1058" xr:uid="{00000000-0005-0000-0000-000021040000}"/>
    <cellStyle name="Bad 2 33" xfId="1059" xr:uid="{00000000-0005-0000-0000-000022040000}"/>
    <cellStyle name="Bad 2 34" xfId="1060" xr:uid="{00000000-0005-0000-0000-000023040000}"/>
    <cellStyle name="Bad 2 35" xfId="1061" xr:uid="{00000000-0005-0000-0000-000024040000}"/>
    <cellStyle name="Bad 2 36" xfId="1062" xr:uid="{00000000-0005-0000-0000-000025040000}"/>
    <cellStyle name="Bad 2 37" xfId="1063" xr:uid="{00000000-0005-0000-0000-000026040000}"/>
    <cellStyle name="Bad 2 38" xfId="1064" xr:uid="{00000000-0005-0000-0000-000027040000}"/>
    <cellStyle name="Bad 2 39" xfId="1065" xr:uid="{00000000-0005-0000-0000-000028040000}"/>
    <cellStyle name="Bad 2 4" xfId="1066" xr:uid="{00000000-0005-0000-0000-000029040000}"/>
    <cellStyle name="Bad 2 40" xfId="1067" xr:uid="{00000000-0005-0000-0000-00002A040000}"/>
    <cellStyle name="Bad 2 41" xfId="1068" xr:uid="{00000000-0005-0000-0000-00002B040000}"/>
    <cellStyle name="Bad 2 42" xfId="1069" xr:uid="{00000000-0005-0000-0000-00002C040000}"/>
    <cellStyle name="Bad 2 43" xfId="1070" xr:uid="{00000000-0005-0000-0000-00002D040000}"/>
    <cellStyle name="Bad 2 44" xfId="1071" xr:uid="{00000000-0005-0000-0000-00002E040000}"/>
    <cellStyle name="Bad 2 45" xfId="1072" xr:uid="{00000000-0005-0000-0000-00002F040000}"/>
    <cellStyle name="Bad 2 46" xfId="1073" xr:uid="{00000000-0005-0000-0000-000030040000}"/>
    <cellStyle name="Bad 2 47" xfId="1074" xr:uid="{00000000-0005-0000-0000-000031040000}"/>
    <cellStyle name="Bad 2 48" xfId="1075" xr:uid="{00000000-0005-0000-0000-000032040000}"/>
    <cellStyle name="Bad 2 49" xfId="1076" xr:uid="{00000000-0005-0000-0000-000033040000}"/>
    <cellStyle name="Bad 2 5" xfId="1077" xr:uid="{00000000-0005-0000-0000-000034040000}"/>
    <cellStyle name="Bad 2 6" xfId="1078" xr:uid="{00000000-0005-0000-0000-000035040000}"/>
    <cellStyle name="Bad 2 7" xfId="1079" xr:uid="{00000000-0005-0000-0000-000036040000}"/>
    <cellStyle name="Bad 2 8" xfId="1080" xr:uid="{00000000-0005-0000-0000-000037040000}"/>
    <cellStyle name="Bad 2 9" xfId="1081" xr:uid="{00000000-0005-0000-0000-000038040000}"/>
    <cellStyle name="Calculation 2" xfId="1082" xr:uid="{00000000-0005-0000-0000-000039040000}"/>
    <cellStyle name="Calculation 2 10" xfId="1083" xr:uid="{00000000-0005-0000-0000-00003A040000}"/>
    <cellStyle name="Calculation 2 11" xfId="1084" xr:uid="{00000000-0005-0000-0000-00003B040000}"/>
    <cellStyle name="Calculation 2 12" xfId="1085" xr:uid="{00000000-0005-0000-0000-00003C040000}"/>
    <cellStyle name="Calculation 2 13" xfId="1086" xr:uid="{00000000-0005-0000-0000-00003D040000}"/>
    <cellStyle name="Calculation 2 14" xfId="1087" xr:uid="{00000000-0005-0000-0000-00003E040000}"/>
    <cellStyle name="Calculation 2 15" xfId="1088" xr:uid="{00000000-0005-0000-0000-00003F040000}"/>
    <cellStyle name="Calculation 2 16" xfId="1089" xr:uid="{00000000-0005-0000-0000-000040040000}"/>
    <cellStyle name="Calculation 2 17" xfId="1090" xr:uid="{00000000-0005-0000-0000-000041040000}"/>
    <cellStyle name="Calculation 2 18" xfId="1091" xr:uid="{00000000-0005-0000-0000-000042040000}"/>
    <cellStyle name="Calculation 2 19" xfId="1092" xr:uid="{00000000-0005-0000-0000-000043040000}"/>
    <cellStyle name="Calculation 2 2" xfId="1093" xr:uid="{00000000-0005-0000-0000-000044040000}"/>
    <cellStyle name="Calculation 2 20" xfId="1094" xr:uid="{00000000-0005-0000-0000-000045040000}"/>
    <cellStyle name="Calculation 2 21" xfId="1095" xr:uid="{00000000-0005-0000-0000-000046040000}"/>
    <cellStyle name="Calculation 2 22" xfId="1096" xr:uid="{00000000-0005-0000-0000-000047040000}"/>
    <cellStyle name="Calculation 2 23" xfId="1097" xr:uid="{00000000-0005-0000-0000-000048040000}"/>
    <cellStyle name="Calculation 2 24" xfId="1098" xr:uid="{00000000-0005-0000-0000-000049040000}"/>
    <cellStyle name="Calculation 2 25" xfId="1099" xr:uid="{00000000-0005-0000-0000-00004A040000}"/>
    <cellStyle name="Calculation 2 26" xfId="1100" xr:uid="{00000000-0005-0000-0000-00004B040000}"/>
    <cellStyle name="Calculation 2 27" xfId="1101" xr:uid="{00000000-0005-0000-0000-00004C040000}"/>
    <cellStyle name="Calculation 2 28" xfId="1102" xr:uid="{00000000-0005-0000-0000-00004D040000}"/>
    <cellStyle name="Calculation 2 29" xfId="1103" xr:uid="{00000000-0005-0000-0000-00004E040000}"/>
    <cellStyle name="Calculation 2 3" xfId="1104" xr:uid="{00000000-0005-0000-0000-00004F040000}"/>
    <cellStyle name="Calculation 2 30" xfId="1105" xr:uid="{00000000-0005-0000-0000-000050040000}"/>
    <cellStyle name="Calculation 2 31" xfId="1106" xr:uid="{00000000-0005-0000-0000-000051040000}"/>
    <cellStyle name="Calculation 2 32" xfId="1107" xr:uid="{00000000-0005-0000-0000-000052040000}"/>
    <cellStyle name="Calculation 2 33" xfId="1108" xr:uid="{00000000-0005-0000-0000-000053040000}"/>
    <cellStyle name="Calculation 2 34" xfId="1109" xr:uid="{00000000-0005-0000-0000-000054040000}"/>
    <cellStyle name="Calculation 2 35" xfId="1110" xr:uid="{00000000-0005-0000-0000-000055040000}"/>
    <cellStyle name="Calculation 2 36" xfId="1111" xr:uid="{00000000-0005-0000-0000-000056040000}"/>
    <cellStyle name="Calculation 2 37" xfId="1112" xr:uid="{00000000-0005-0000-0000-000057040000}"/>
    <cellStyle name="Calculation 2 38" xfId="1113" xr:uid="{00000000-0005-0000-0000-000058040000}"/>
    <cellStyle name="Calculation 2 39" xfId="1114" xr:uid="{00000000-0005-0000-0000-000059040000}"/>
    <cellStyle name="Calculation 2 4" xfId="1115" xr:uid="{00000000-0005-0000-0000-00005A040000}"/>
    <cellStyle name="Calculation 2 40" xfId="1116" xr:uid="{00000000-0005-0000-0000-00005B040000}"/>
    <cellStyle name="Calculation 2 41" xfId="1117" xr:uid="{00000000-0005-0000-0000-00005C040000}"/>
    <cellStyle name="Calculation 2 42" xfId="1118" xr:uid="{00000000-0005-0000-0000-00005D040000}"/>
    <cellStyle name="Calculation 2 43" xfId="1119" xr:uid="{00000000-0005-0000-0000-00005E040000}"/>
    <cellStyle name="Calculation 2 44" xfId="1120" xr:uid="{00000000-0005-0000-0000-00005F040000}"/>
    <cellStyle name="Calculation 2 45" xfId="1121" xr:uid="{00000000-0005-0000-0000-000060040000}"/>
    <cellStyle name="Calculation 2 46" xfId="1122" xr:uid="{00000000-0005-0000-0000-000061040000}"/>
    <cellStyle name="Calculation 2 47" xfId="1123" xr:uid="{00000000-0005-0000-0000-000062040000}"/>
    <cellStyle name="Calculation 2 48" xfId="1124" xr:uid="{00000000-0005-0000-0000-000063040000}"/>
    <cellStyle name="Calculation 2 49" xfId="1125" xr:uid="{00000000-0005-0000-0000-000064040000}"/>
    <cellStyle name="Calculation 2 5" xfId="1126" xr:uid="{00000000-0005-0000-0000-000065040000}"/>
    <cellStyle name="Calculation 2 6" xfId="1127" xr:uid="{00000000-0005-0000-0000-000066040000}"/>
    <cellStyle name="Calculation 2 7" xfId="1128" xr:uid="{00000000-0005-0000-0000-000067040000}"/>
    <cellStyle name="Calculation 2 8" xfId="1129" xr:uid="{00000000-0005-0000-0000-000068040000}"/>
    <cellStyle name="Calculation 2 9" xfId="1130" xr:uid="{00000000-0005-0000-0000-000069040000}"/>
    <cellStyle name="Check Cell" xfId="1131" builtinId="23" customBuiltin="1"/>
    <cellStyle name="Explanatory Text" xfId="1132" builtinId="53" customBuiltin="1"/>
    <cellStyle name="Good 2" xfId="1133" xr:uid="{00000000-0005-0000-0000-00006C040000}"/>
    <cellStyle name="Good 2 10" xfId="1134" xr:uid="{00000000-0005-0000-0000-00006D040000}"/>
    <cellStyle name="Good 2 11" xfId="1135" xr:uid="{00000000-0005-0000-0000-00006E040000}"/>
    <cellStyle name="Good 2 12" xfId="1136" xr:uid="{00000000-0005-0000-0000-00006F040000}"/>
    <cellStyle name="Good 2 13" xfId="1137" xr:uid="{00000000-0005-0000-0000-000070040000}"/>
    <cellStyle name="Good 2 14" xfId="1138" xr:uid="{00000000-0005-0000-0000-000071040000}"/>
    <cellStyle name="Good 2 15" xfId="1139" xr:uid="{00000000-0005-0000-0000-000072040000}"/>
    <cellStyle name="Good 2 16" xfId="1140" xr:uid="{00000000-0005-0000-0000-000073040000}"/>
    <cellStyle name="Good 2 17" xfId="1141" xr:uid="{00000000-0005-0000-0000-000074040000}"/>
    <cellStyle name="Good 2 18" xfId="1142" xr:uid="{00000000-0005-0000-0000-000075040000}"/>
    <cellStyle name="Good 2 19" xfId="1143" xr:uid="{00000000-0005-0000-0000-000076040000}"/>
    <cellStyle name="Good 2 2" xfId="1144" xr:uid="{00000000-0005-0000-0000-000077040000}"/>
    <cellStyle name="Good 2 20" xfId="1145" xr:uid="{00000000-0005-0000-0000-000078040000}"/>
    <cellStyle name="Good 2 21" xfId="1146" xr:uid="{00000000-0005-0000-0000-000079040000}"/>
    <cellStyle name="Good 2 22" xfId="1147" xr:uid="{00000000-0005-0000-0000-00007A040000}"/>
    <cellStyle name="Good 2 23" xfId="1148" xr:uid="{00000000-0005-0000-0000-00007B040000}"/>
    <cellStyle name="Good 2 24" xfId="1149" xr:uid="{00000000-0005-0000-0000-00007C040000}"/>
    <cellStyle name="Good 2 25" xfId="1150" xr:uid="{00000000-0005-0000-0000-00007D040000}"/>
    <cellStyle name="Good 2 26" xfId="1151" xr:uid="{00000000-0005-0000-0000-00007E040000}"/>
    <cellStyle name="Good 2 27" xfId="1152" xr:uid="{00000000-0005-0000-0000-00007F040000}"/>
    <cellStyle name="Good 2 28" xfId="1153" xr:uid="{00000000-0005-0000-0000-000080040000}"/>
    <cellStyle name="Good 2 29" xfId="1154" xr:uid="{00000000-0005-0000-0000-000081040000}"/>
    <cellStyle name="Good 2 3" xfId="1155" xr:uid="{00000000-0005-0000-0000-000082040000}"/>
    <cellStyle name="Good 2 30" xfId="1156" xr:uid="{00000000-0005-0000-0000-000083040000}"/>
    <cellStyle name="Good 2 31" xfId="1157" xr:uid="{00000000-0005-0000-0000-000084040000}"/>
    <cellStyle name="Good 2 32" xfId="1158" xr:uid="{00000000-0005-0000-0000-000085040000}"/>
    <cellStyle name="Good 2 33" xfId="1159" xr:uid="{00000000-0005-0000-0000-000086040000}"/>
    <cellStyle name="Good 2 34" xfId="1160" xr:uid="{00000000-0005-0000-0000-000087040000}"/>
    <cellStyle name="Good 2 35" xfId="1161" xr:uid="{00000000-0005-0000-0000-000088040000}"/>
    <cellStyle name="Good 2 36" xfId="1162" xr:uid="{00000000-0005-0000-0000-000089040000}"/>
    <cellStyle name="Good 2 37" xfId="1163" xr:uid="{00000000-0005-0000-0000-00008A040000}"/>
    <cellStyle name="Good 2 38" xfId="1164" xr:uid="{00000000-0005-0000-0000-00008B040000}"/>
    <cellStyle name="Good 2 39" xfId="1165" xr:uid="{00000000-0005-0000-0000-00008C040000}"/>
    <cellStyle name="Good 2 4" xfId="1166" xr:uid="{00000000-0005-0000-0000-00008D040000}"/>
    <cellStyle name="Good 2 40" xfId="1167" xr:uid="{00000000-0005-0000-0000-00008E040000}"/>
    <cellStyle name="Good 2 41" xfId="1168" xr:uid="{00000000-0005-0000-0000-00008F040000}"/>
    <cellStyle name="Good 2 42" xfId="1169" xr:uid="{00000000-0005-0000-0000-000090040000}"/>
    <cellStyle name="Good 2 43" xfId="1170" xr:uid="{00000000-0005-0000-0000-000091040000}"/>
    <cellStyle name="Good 2 44" xfId="1171" xr:uid="{00000000-0005-0000-0000-000092040000}"/>
    <cellStyle name="Good 2 45" xfId="1172" xr:uid="{00000000-0005-0000-0000-000093040000}"/>
    <cellStyle name="Good 2 46" xfId="1173" xr:uid="{00000000-0005-0000-0000-000094040000}"/>
    <cellStyle name="Good 2 47" xfId="1174" xr:uid="{00000000-0005-0000-0000-000095040000}"/>
    <cellStyle name="Good 2 48" xfId="1175" xr:uid="{00000000-0005-0000-0000-000096040000}"/>
    <cellStyle name="Good 2 49" xfId="1176" xr:uid="{00000000-0005-0000-0000-000097040000}"/>
    <cellStyle name="Good 2 5" xfId="1177" xr:uid="{00000000-0005-0000-0000-000098040000}"/>
    <cellStyle name="Good 2 6" xfId="1178" xr:uid="{00000000-0005-0000-0000-000099040000}"/>
    <cellStyle name="Good 2 7" xfId="1179" xr:uid="{00000000-0005-0000-0000-00009A040000}"/>
    <cellStyle name="Good 2 8" xfId="1180" xr:uid="{00000000-0005-0000-0000-00009B040000}"/>
    <cellStyle name="Good 2 9" xfId="1181" xr:uid="{00000000-0005-0000-0000-00009C040000}"/>
    <cellStyle name="Heading 1 2" xfId="1182" xr:uid="{00000000-0005-0000-0000-00009D040000}"/>
    <cellStyle name="Heading 1 2 10" xfId="1183" xr:uid="{00000000-0005-0000-0000-00009E040000}"/>
    <cellStyle name="Heading 1 2 11" xfId="1184" xr:uid="{00000000-0005-0000-0000-00009F040000}"/>
    <cellStyle name="Heading 1 2 12" xfId="1185" xr:uid="{00000000-0005-0000-0000-0000A0040000}"/>
    <cellStyle name="Heading 1 2 13" xfId="1186" xr:uid="{00000000-0005-0000-0000-0000A1040000}"/>
    <cellStyle name="Heading 1 2 14" xfId="1187" xr:uid="{00000000-0005-0000-0000-0000A2040000}"/>
    <cellStyle name="Heading 1 2 15" xfId="1188" xr:uid="{00000000-0005-0000-0000-0000A3040000}"/>
    <cellStyle name="Heading 1 2 16" xfId="1189" xr:uid="{00000000-0005-0000-0000-0000A4040000}"/>
    <cellStyle name="Heading 1 2 17" xfId="1190" xr:uid="{00000000-0005-0000-0000-0000A5040000}"/>
    <cellStyle name="Heading 1 2 18" xfId="1191" xr:uid="{00000000-0005-0000-0000-0000A6040000}"/>
    <cellStyle name="Heading 1 2 19" xfId="1192" xr:uid="{00000000-0005-0000-0000-0000A7040000}"/>
    <cellStyle name="Heading 1 2 2" xfId="1193" xr:uid="{00000000-0005-0000-0000-0000A8040000}"/>
    <cellStyle name="Heading 1 2 20" xfId="1194" xr:uid="{00000000-0005-0000-0000-0000A9040000}"/>
    <cellStyle name="Heading 1 2 21" xfId="1195" xr:uid="{00000000-0005-0000-0000-0000AA040000}"/>
    <cellStyle name="Heading 1 2 22" xfId="1196" xr:uid="{00000000-0005-0000-0000-0000AB040000}"/>
    <cellStyle name="Heading 1 2 23" xfId="1197" xr:uid="{00000000-0005-0000-0000-0000AC040000}"/>
    <cellStyle name="Heading 1 2 24" xfId="1198" xr:uid="{00000000-0005-0000-0000-0000AD040000}"/>
    <cellStyle name="Heading 1 2 25" xfId="1199" xr:uid="{00000000-0005-0000-0000-0000AE040000}"/>
    <cellStyle name="Heading 1 2 26" xfId="1200" xr:uid="{00000000-0005-0000-0000-0000AF040000}"/>
    <cellStyle name="Heading 1 2 27" xfId="1201" xr:uid="{00000000-0005-0000-0000-0000B0040000}"/>
    <cellStyle name="Heading 1 2 28" xfId="1202" xr:uid="{00000000-0005-0000-0000-0000B1040000}"/>
    <cellStyle name="Heading 1 2 29" xfId="1203" xr:uid="{00000000-0005-0000-0000-0000B2040000}"/>
    <cellStyle name="Heading 1 2 3" xfId="1204" xr:uid="{00000000-0005-0000-0000-0000B3040000}"/>
    <cellStyle name="Heading 1 2 30" xfId="1205" xr:uid="{00000000-0005-0000-0000-0000B4040000}"/>
    <cellStyle name="Heading 1 2 31" xfId="1206" xr:uid="{00000000-0005-0000-0000-0000B5040000}"/>
    <cellStyle name="Heading 1 2 32" xfId="1207" xr:uid="{00000000-0005-0000-0000-0000B6040000}"/>
    <cellStyle name="Heading 1 2 33" xfId="1208" xr:uid="{00000000-0005-0000-0000-0000B7040000}"/>
    <cellStyle name="Heading 1 2 34" xfId="1209" xr:uid="{00000000-0005-0000-0000-0000B8040000}"/>
    <cellStyle name="Heading 1 2 35" xfId="1210" xr:uid="{00000000-0005-0000-0000-0000B9040000}"/>
    <cellStyle name="Heading 1 2 36" xfId="1211" xr:uid="{00000000-0005-0000-0000-0000BA040000}"/>
    <cellStyle name="Heading 1 2 37" xfId="1212" xr:uid="{00000000-0005-0000-0000-0000BB040000}"/>
    <cellStyle name="Heading 1 2 38" xfId="1213" xr:uid="{00000000-0005-0000-0000-0000BC040000}"/>
    <cellStyle name="Heading 1 2 39" xfId="1214" xr:uid="{00000000-0005-0000-0000-0000BD040000}"/>
    <cellStyle name="Heading 1 2 4" xfId="1215" xr:uid="{00000000-0005-0000-0000-0000BE040000}"/>
    <cellStyle name="Heading 1 2 40" xfId="1216" xr:uid="{00000000-0005-0000-0000-0000BF040000}"/>
    <cellStyle name="Heading 1 2 41" xfId="1217" xr:uid="{00000000-0005-0000-0000-0000C0040000}"/>
    <cellStyle name="Heading 1 2 42" xfId="1218" xr:uid="{00000000-0005-0000-0000-0000C1040000}"/>
    <cellStyle name="Heading 1 2 43" xfId="1219" xr:uid="{00000000-0005-0000-0000-0000C2040000}"/>
    <cellStyle name="Heading 1 2 44" xfId="1220" xr:uid="{00000000-0005-0000-0000-0000C3040000}"/>
    <cellStyle name="Heading 1 2 45" xfId="1221" xr:uid="{00000000-0005-0000-0000-0000C4040000}"/>
    <cellStyle name="Heading 1 2 46" xfId="1222" xr:uid="{00000000-0005-0000-0000-0000C5040000}"/>
    <cellStyle name="Heading 1 2 47" xfId="1223" xr:uid="{00000000-0005-0000-0000-0000C6040000}"/>
    <cellStyle name="Heading 1 2 48" xfId="1224" xr:uid="{00000000-0005-0000-0000-0000C7040000}"/>
    <cellStyle name="Heading 1 2 49" xfId="1225" xr:uid="{00000000-0005-0000-0000-0000C8040000}"/>
    <cellStyle name="Heading 1 2 49 2" xfId="1226" xr:uid="{00000000-0005-0000-0000-0000C9040000}"/>
    <cellStyle name="Heading 1 2 5" xfId="1227" xr:uid="{00000000-0005-0000-0000-0000CA040000}"/>
    <cellStyle name="Heading 1 2 50" xfId="1228" xr:uid="{00000000-0005-0000-0000-0000CB040000}"/>
    <cellStyle name="Heading 1 2 50 2" xfId="1229" xr:uid="{00000000-0005-0000-0000-0000CC040000}"/>
    <cellStyle name="Heading 1 2 6" xfId="1230" xr:uid="{00000000-0005-0000-0000-0000CD040000}"/>
    <cellStyle name="Heading 1 2 7" xfId="1231" xr:uid="{00000000-0005-0000-0000-0000CE040000}"/>
    <cellStyle name="Heading 1 2 8" xfId="1232" xr:uid="{00000000-0005-0000-0000-0000CF040000}"/>
    <cellStyle name="Heading 1 2 9" xfId="1233" xr:uid="{00000000-0005-0000-0000-0000D0040000}"/>
    <cellStyle name="Heading 2 2" xfId="1234" xr:uid="{00000000-0005-0000-0000-0000D1040000}"/>
    <cellStyle name="Heading 2 2 10" xfId="1235" xr:uid="{00000000-0005-0000-0000-0000D2040000}"/>
    <cellStyle name="Heading 2 2 11" xfId="1236" xr:uid="{00000000-0005-0000-0000-0000D3040000}"/>
    <cellStyle name="Heading 2 2 12" xfId="1237" xr:uid="{00000000-0005-0000-0000-0000D4040000}"/>
    <cellStyle name="Heading 2 2 13" xfId="1238" xr:uid="{00000000-0005-0000-0000-0000D5040000}"/>
    <cellStyle name="Heading 2 2 14" xfId="1239" xr:uid="{00000000-0005-0000-0000-0000D6040000}"/>
    <cellStyle name="Heading 2 2 15" xfId="1240" xr:uid="{00000000-0005-0000-0000-0000D7040000}"/>
    <cellStyle name="Heading 2 2 16" xfId="1241" xr:uid="{00000000-0005-0000-0000-0000D8040000}"/>
    <cellStyle name="Heading 2 2 17" xfId="1242" xr:uid="{00000000-0005-0000-0000-0000D9040000}"/>
    <cellStyle name="Heading 2 2 18" xfId="1243" xr:uid="{00000000-0005-0000-0000-0000DA040000}"/>
    <cellStyle name="Heading 2 2 19" xfId="1244" xr:uid="{00000000-0005-0000-0000-0000DB040000}"/>
    <cellStyle name="Heading 2 2 2" xfId="1245" xr:uid="{00000000-0005-0000-0000-0000DC040000}"/>
    <cellStyle name="Heading 2 2 20" xfId="1246" xr:uid="{00000000-0005-0000-0000-0000DD040000}"/>
    <cellStyle name="Heading 2 2 21" xfId="1247" xr:uid="{00000000-0005-0000-0000-0000DE040000}"/>
    <cellStyle name="Heading 2 2 22" xfId="1248" xr:uid="{00000000-0005-0000-0000-0000DF040000}"/>
    <cellStyle name="Heading 2 2 23" xfId="1249" xr:uid="{00000000-0005-0000-0000-0000E0040000}"/>
    <cellStyle name="Heading 2 2 24" xfId="1250" xr:uid="{00000000-0005-0000-0000-0000E1040000}"/>
    <cellStyle name="Heading 2 2 25" xfId="1251" xr:uid="{00000000-0005-0000-0000-0000E2040000}"/>
    <cellStyle name="Heading 2 2 26" xfId="1252" xr:uid="{00000000-0005-0000-0000-0000E3040000}"/>
    <cellStyle name="Heading 2 2 27" xfId="1253" xr:uid="{00000000-0005-0000-0000-0000E4040000}"/>
    <cellStyle name="Heading 2 2 28" xfId="1254" xr:uid="{00000000-0005-0000-0000-0000E5040000}"/>
    <cellStyle name="Heading 2 2 29" xfId="1255" xr:uid="{00000000-0005-0000-0000-0000E6040000}"/>
    <cellStyle name="Heading 2 2 3" xfId="1256" xr:uid="{00000000-0005-0000-0000-0000E7040000}"/>
    <cellStyle name="Heading 2 2 30" xfId="1257" xr:uid="{00000000-0005-0000-0000-0000E8040000}"/>
    <cellStyle name="Heading 2 2 31" xfId="1258" xr:uid="{00000000-0005-0000-0000-0000E9040000}"/>
    <cellStyle name="Heading 2 2 32" xfId="1259" xr:uid="{00000000-0005-0000-0000-0000EA040000}"/>
    <cellStyle name="Heading 2 2 33" xfId="1260" xr:uid="{00000000-0005-0000-0000-0000EB040000}"/>
    <cellStyle name="Heading 2 2 34" xfId="1261" xr:uid="{00000000-0005-0000-0000-0000EC040000}"/>
    <cellStyle name="Heading 2 2 35" xfId="1262" xr:uid="{00000000-0005-0000-0000-0000ED040000}"/>
    <cellStyle name="Heading 2 2 36" xfId="1263" xr:uid="{00000000-0005-0000-0000-0000EE040000}"/>
    <cellStyle name="Heading 2 2 37" xfId="1264" xr:uid="{00000000-0005-0000-0000-0000EF040000}"/>
    <cellStyle name="Heading 2 2 38" xfId="1265" xr:uid="{00000000-0005-0000-0000-0000F0040000}"/>
    <cellStyle name="Heading 2 2 39" xfId="1266" xr:uid="{00000000-0005-0000-0000-0000F1040000}"/>
    <cellStyle name="Heading 2 2 4" xfId="1267" xr:uid="{00000000-0005-0000-0000-0000F2040000}"/>
    <cellStyle name="Heading 2 2 40" xfId="1268" xr:uid="{00000000-0005-0000-0000-0000F3040000}"/>
    <cellStyle name="Heading 2 2 41" xfId="1269" xr:uid="{00000000-0005-0000-0000-0000F4040000}"/>
    <cellStyle name="Heading 2 2 42" xfId="1270" xr:uid="{00000000-0005-0000-0000-0000F5040000}"/>
    <cellStyle name="Heading 2 2 43" xfId="1271" xr:uid="{00000000-0005-0000-0000-0000F6040000}"/>
    <cellStyle name="Heading 2 2 44" xfId="1272" xr:uid="{00000000-0005-0000-0000-0000F7040000}"/>
    <cellStyle name="Heading 2 2 45" xfId="1273" xr:uid="{00000000-0005-0000-0000-0000F8040000}"/>
    <cellStyle name="Heading 2 2 46" xfId="1274" xr:uid="{00000000-0005-0000-0000-0000F9040000}"/>
    <cellStyle name="Heading 2 2 47" xfId="1275" xr:uid="{00000000-0005-0000-0000-0000FA040000}"/>
    <cellStyle name="Heading 2 2 48" xfId="1276" xr:uid="{00000000-0005-0000-0000-0000FB040000}"/>
    <cellStyle name="Heading 2 2 49" xfId="1277" xr:uid="{00000000-0005-0000-0000-0000FC040000}"/>
    <cellStyle name="Heading 2 2 49 2" xfId="1278" xr:uid="{00000000-0005-0000-0000-0000FD040000}"/>
    <cellStyle name="Heading 2 2 5" xfId="1279" xr:uid="{00000000-0005-0000-0000-0000FE040000}"/>
    <cellStyle name="Heading 2 2 50" xfId="1280" xr:uid="{00000000-0005-0000-0000-0000FF040000}"/>
    <cellStyle name="Heading 2 2 50 2" xfId="1281" xr:uid="{00000000-0005-0000-0000-000000050000}"/>
    <cellStyle name="Heading 2 2 6" xfId="1282" xr:uid="{00000000-0005-0000-0000-000001050000}"/>
    <cellStyle name="Heading 2 2 7" xfId="1283" xr:uid="{00000000-0005-0000-0000-000002050000}"/>
    <cellStyle name="Heading 2 2 8" xfId="1284" xr:uid="{00000000-0005-0000-0000-000003050000}"/>
    <cellStyle name="Heading 2 2 9" xfId="1285" xr:uid="{00000000-0005-0000-0000-000004050000}"/>
    <cellStyle name="Heading 3 2" xfId="1286" xr:uid="{00000000-0005-0000-0000-000005050000}"/>
    <cellStyle name="Heading 3 2 10" xfId="1287" xr:uid="{00000000-0005-0000-0000-000006050000}"/>
    <cellStyle name="Heading 3 2 11" xfId="1288" xr:uid="{00000000-0005-0000-0000-000007050000}"/>
    <cellStyle name="Heading 3 2 12" xfId="1289" xr:uid="{00000000-0005-0000-0000-000008050000}"/>
    <cellStyle name="Heading 3 2 13" xfId="1290" xr:uid="{00000000-0005-0000-0000-000009050000}"/>
    <cellStyle name="Heading 3 2 14" xfId="1291" xr:uid="{00000000-0005-0000-0000-00000A050000}"/>
    <cellStyle name="Heading 3 2 15" xfId="1292" xr:uid="{00000000-0005-0000-0000-00000B050000}"/>
    <cellStyle name="Heading 3 2 16" xfId="1293" xr:uid="{00000000-0005-0000-0000-00000C050000}"/>
    <cellStyle name="Heading 3 2 17" xfId="1294" xr:uid="{00000000-0005-0000-0000-00000D050000}"/>
    <cellStyle name="Heading 3 2 18" xfId="1295" xr:uid="{00000000-0005-0000-0000-00000E050000}"/>
    <cellStyle name="Heading 3 2 19" xfId="1296" xr:uid="{00000000-0005-0000-0000-00000F050000}"/>
    <cellStyle name="Heading 3 2 2" xfId="1297" xr:uid="{00000000-0005-0000-0000-000010050000}"/>
    <cellStyle name="Heading 3 2 20" xfId="1298" xr:uid="{00000000-0005-0000-0000-000011050000}"/>
    <cellStyle name="Heading 3 2 21" xfId="1299" xr:uid="{00000000-0005-0000-0000-000012050000}"/>
    <cellStyle name="Heading 3 2 22" xfId="1300" xr:uid="{00000000-0005-0000-0000-000013050000}"/>
    <cellStyle name="Heading 3 2 23" xfId="1301" xr:uid="{00000000-0005-0000-0000-000014050000}"/>
    <cellStyle name="Heading 3 2 24" xfId="1302" xr:uid="{00000000-0005-0000-0000-000015050000}"/>
    <cellStyle name="Heading 3 2 25" xfId="1303" xr:uid="{00000000-0005-0000-0000-000016050000}"/>
    <cellStyle name="Heading 3 2 26" xfId="1304" xr:uid="{00000000-0005-0000-0000-000017050000}"/>
    <cellStyle name="Heading 3 2 27" xfId="1305" xr:uid="{00000000-0005-0000-0000-000018050000}"/>
    <cellStyle name="Heading 3 2 28" xfId="1306" xr:uid="{00000000-0005-0000-0000-000019050000}"/>
    <cellStyle name="Heading 3 2 29" xfId="1307" xr:uid="{00000000-0005-0000-0000-00001A050000}"/>
    <cellStyle name="Heading 3 2 3" xfId="1308" xr:uid="{00000000-0005-0000-0000-00001B050000}"/>
    <cellStyle name="Heading 3 2 30" xfId="1309" xr:uid="{00000000-0005-0000-0000-00001C050000}"/>
    <cellStyle name="Heading 3 2 31" xfId="1310" xr:uid="{00000000-0005-0000-0000-00001D050000}"/>
    <cellStyle name="Heading 3 2 32" xfId="1311" xr:uid="{00000000-0005-0000-0000-00001E050000}"/>
    <cellStyle name="Heading 3 2 33" xfId="1312" xr:uid="{00000000-0005-0000-0000-00001F050000}"/>
    <cellStyle name="Heading 3 2 34" xfId="1313" xr:uid="{00000000-0005-0000-0000-000020050000}"/>
    <cellStyle name="Heading 3 2 35" xfId="1314" xr:uid="{00000000-0005-0000-0000-000021050000}"/>
    <cellStyle name="Heading 3 2 36" xfId="1315" xr:uid="{00000000-0005-0000-0000-000022050000}"/>
    <cellStyle name="Heading 3 2 37" xfId="1316" xr:uid="{00000000-0005-0000-0000-000023050000}"/>
    <cellStyle name="Heading 3 2 38" xfId="1317" xr:uid="{00000000-0005-0000-0000-000024050000}"/>
    <cellStyle name="Heading 3 2 39" xfId="1318" xr:uid="{00000000-0005-0000-0000-000025050000}"/>
    <cellStyle name="Heading 3 2 4" xfId="1319" xr:uid="{00000000-0005-0000-0000-000026050000}"/>
    <cellStyle name="Heading 3 2 40" xfId="1320" xr:uid="{00000000-0005-0000-0000-000027050000}"/>
    <cellStyle name="Heading 3 2 41" xfId="1321" xr:uid="{00000000-0005-0000-0000-000028050000}"/>
    <cellStyle name="Heading 3 2 42" xfId="1322" xr:uid="{00000000-0005-0000-0000-000029050000}"/>
    <cellStyle name="Heading 3 2 43" xfId="1323" xr:uid="{00000000-0005-0000-0000-00002A050000}"/>
    <cellStyle name="Heading 3 2 44" xfId="1324" xr:uid="{00000000-0005-0000-0000-00002B050000}"/>
    <cellStyle name="Heading 3 2 45" xfId="1325" xr:uid="{00000000-0005-0000-0000-00002C050000}"/>
    <cellStyle name="Heading 3 2 46" xfId="1326" xr:uid="{00000000-0005-0000-0000-00002D050000}"/>
    <cellStyle name="Heading 3 2 47" xfId="1327" xr:uid="{00000000-0005-0000-0000-00002E050000}"/>
    <cellStyle name="Heading 3 2 48" xfId="1328" xr:uid="{00000000-0005-0000-0000-00002F050000}"/>
    <cellStyle name="Heading 3 2 49" xfId="1329" xr:uid="{00000000-0005-0000-0000-000030050000}"/>
    <cellStyle name="Heading 3 2 49 2" xfId="1330" xr:uid="{00000000-0005-0000-0000-000031050000}"/>
    <cellStyle name="Heading 3 2 5" xfId="1331" xr:uid="{00000000-0005-0000-0000-000032050000}"/>
    <cellStyle name="Heading 3 2 50" xfId="1332" xr:uid="{00000000-0005-0000-0000-000033050000}"/>
    <cellStyle name="Heading 3 2 50 2" xfId="1333" xr:uid="{00000000-0005-0000-0000-000034050000}"/>
    <cellStyle name="Heading 3 2 6" xfId="1334" xr:uid="{00000000-0005-0000-0000-000035050000}"/>
    <cellStyle name="Heading 3 2 7" xfId="1335" xr:uid="{00000000-0005-0000-0000-000036050000}"/>
    <cellStyle name="Heading 3 2 8" xfId="1336" xr:uid="{00000000-0005-0000-0000-000037050000}"/>
    <cellStyle name="Heading 3 2 9" xfId="1337" xr:uid="{00000000-0005-0000-0000-000038050000}"/>
    <cellStyle name="Heading 4 2" xfId="1338" xr:uid="{00000000-0005-0000-0000-000039050000}"/>
    <cellStyle name="Heading 4 2 10" xfId="1339" xr:uid="{00000000-0005-0000-0000-00003A050000}"/>
    <cellStyle name="Heading 4 2 11" xfId="1340" xr:uid="{00000000-0005-0000-0000-00003B050000}"/>
    <cellStyle name="Heading 4 2 12" xfId="1341" xr:uid="{00000000-0005-0000-0000-00003C050000}"/>
    <cellStyle name="Heading 4 2 13" xfId="1342" xr:uid="{00000000-0005-0000-0000-00003D050000}"/>
    <cellStyle name="Heading 4 2 14" xfId="1343" xr:uid="{00000000-0005-0000-0000-00003E050000}"/>
    <cellStyle name="Heading 4 2 15" xfId="1344" xr:uid="{00000000-0005-0000-0000-00003F050000}"/>
    <cellStyle name="Heading 4 2 16" xfId="1345" xr:uid="{00000000-0005-0000-0000-000040050000}"/>
    <cellStyle name="Heading 4 2 17" xfId="1346" xr:uid="{00000000-0005-0000-0000-000041050000}"/>
    <cellStyle name="Heading 4 2 18" xfId="1347" xr:uid="{00000000-0005-0000-0000-000042050000}"/>
    <cellStyle name="Heading 4 2 19" xfId="1348" xr:uid="{00000000-0005-0000-0000-000043050000}"/>
    <cellStyle name="Heading 4 2 2" xfId="1349" xr:uid="{00000000-0005-0000-0000-000044050000}"/>
    <cellStyle name="Heading 4 2 20" xfId="1350" xr:uid="{00000000-0005-0000-0000-000045050000}"/>
    <cellStyle name="Heading 4 2 21" xfId="1351" xr:uid="{00000000-0005-0000-0000-000046050000}"/>
    <cellStyle name="Heading 4 2 22" xfId="1352" xr:uid="{00000000-0005-0000-0000-000047050000}"/>
    <cellStyle name="Heading 4 2 23" xfId="1353" xr:uid="{00000000-0005-0000-0000-000048050000}"/>
    <cellStyle name="Heading 4 2 24" xfId="1354" xr:uid="{00000000-0005-0000-0000-000049050000}"/>
    <cellStyle name="Heading 4 2 25" xfId="1355" xr:uid="{00000000-0005-0000-0000-00004A050000}"/>
    <cellStyle name="Heading 4 2 26" xfId="1356" xr:uid="{00000000-0005-0000-0000-00004B050000}"/>
    <cellStyle name="Heading 4 2 27" xfId="1357" xr:uid="{00000000-0005-0000-0000-00004C050000}"/>
    <cellStyle name="Heading 4 2 28" xfId="1358" xr:uid="{00000000-0005-0000-0000-00004D050000}"/>
    <cellStyle name="Heading 4 2 29" xfId="1359" xr:uid="{00000000-0005-0000-0000-00004E050000}"/>
    <cellStyle name="Heading 4 2 3" xfId="1360" xr:uid="{00000000-0005-0000-0000-00004F050000}"/>
    <cellStyle name="Heading 4 2 30" xfId="1361" xr:uid="{00000000-0005-0000-0000-000050050000}"/>
    <cellStyle name="Heading 4 2 31" xfId="1362" xr:uid="{00000000-0005-0000-0000-000051050000}"/>
    <cellStyle name="Heading 4 2 32" xfId="1363" xr:uid="{00000000-0005-0000-0000-000052050000}"/>
    <cellStyle name="Heading 4 2 33" xfId="1364" xr:uid="{00000000-0005-0000-0000-000053050000}"/>
    <cellStyle name="Heading 4 2 34" xfId="1365" xr:uid="{00000000-0005-0000-0000-000054050000}"/>
    <cellStyle name="Heading 4 2 35" xfId="1366" xr:uid="{00000000-0005-0000-0000-000055050000}"/>
    <cellStyle name="Heading 4 2 36" xfId="1367" xr:uid="{00000000-0005-0000-0000-000056050000}"/>
    <cellStyle name="Heading 4 2 37" xfId="1368" xr:uid="{00000000-0005-0000-0000-000057050000}"/>
    <cellStyle name="Heading 4 2 38" xfId="1369" xr:uid="{00000000-0005-0000-0000-000058050000}"/>
    <cellStyle name="Heading 4 2 39" xfId="1370" xr:uid="{00000000-0005-0000-0000-000059050000}"/>
    <cellStyle name="Heading 4 2 4" xfId="1371" xr:uid="{00000000-0005-0000-0000-00005A050000}"/>
    <cellStyle name="Heading 4 2 40" xfId="1372" xr:uid="{00000000-0005-0000-0000-00005B050000}"/>
    <cellStyle name="Heading 4 2 41" xfId="1373" xr:uid="{00000000-0005-0000-0000-00005C050000}"/>
    <cellStyle name="Heading 4 2 42" xfId="1374" xr:uid="{00000000-0005-0000-0000-00005D050000}"/>
    <cellStyle name="Heading 4 2 43" xfId="1375" xr:uid="{00000000-0005-0000-0000-00005E050000}"/>
    <cellStyle name="Heading 4 2 44" xfId="1376" xr:uid="{00000000-0005-0000-0000-00005F050000}"/>
    <cellStyle name="Heading 4 2 45" xfId="1377" xr:uid="{00000000-0005-0000-0000-000060050000}"/>
    <cellStyle name="Heading 4 2 46" xfId="1378" xr:uid="{00000000-0005-0000-0000-000061050000}"/>
    <cellStyle name="Heading 4 2 47" xfId="1379" xr:uid="{00000000-0005-0000-0000-000062050000}"/>
    <cellStyle name="Heading 4 2 48" xfId="1380" xr:uid="{00000000-0005-0000-0000-000063050000}"/>
    <cellStyle name="Heading 4 2 49" xfId="1381" xr:uid="{00000000-0005-0000-0000-000064050000}"/>
    <cellStyle name="Heading 4 2 49 2" xfId="1382" xr:uid="{00000000-0005-0000-0000-000065050000}"/>
    <cellStyle name="Heading 4 2 5" xfId="1383" xr:uid="{00000000-0005-0000-0000-000066050000}"/>
    <cellStyle name="Heading 4 2 50" xfId="1384" xr:uid="{00000000-0005-0000-0000-000067050000}"/>
    <cellStyle name="Heading 4 2 50 2" xfId="1385" xr:uid="{00000000-0005-0000-0000-000068050000}"/>
    <cellStyle name="Heading 4 2 6" xfId="1386" xr:uid="{00000000-0005-0000-0000-000069050000}"/>
    <cellStyle name="Heading 4 2 7" xfId="1387" xr:uid="{00000000-0005-0000-0000-00006A050000}"/>
    <cellStyle name="Heading 4 2 8" xfId="1388" xr:uid="{00000000-0005-0000-0000-00006B050000}"/>
    <cellStyle name="Heading 4 2 9" xfId="1389" xr:uid="{00000000-0005-0000-0000-00006C050000}"/>
    <cellStyle name="Input 2" xfId="1390" xr:uid="{00000000-0005-0000-0000-00006D050000}"/>
    <cellStyle name="Input 2 10" xfId="1391" xr:uid="{00000000-0005-0000-0000-00006E050000}"/>
    <cellStyle name="Input 2 11" xfId="1392" xr:uid="{00000000-0005-0000-0000-00006F050000}"/>
    <cellStyle name="Input 2 12" xfId="1393" xr:uid="{00000000-0005-0000-0000-000070050000}"/>
    <cellStyle name="Input 2 13" xfId="1394" xr:uid="{00000000-0005-0000-0000-000071050000}"/>
    <cellStyle name="Input 2 14" xfId="1395" xr:uid="{00000000-0005-0000-0000-000072050000}"/>
    <cellStyle name="Input 2 15" xfId="1396" xr:uid="{00000000-0005-0000-0000-000073050000}"/>
    <cellStyle name="Input 2 16" xfId="1397" xr:uid="{00000000-0005-0000-0000-000074050000}"/>
    <cellStyle name="Input 2 17" xfId="1398" xr:uid="{00000000-0005-0000-0000-000075050000}"/>
    <cellStyle name="Input 2 18" xfId="1399" xr:uid="{00000000-0005-0000-0000-000076050000}"/>
    <cellStyle name="Input 2 19" xfId="1400" xr:uid="{00000000-0005-0000-0000-000077050000}"/>
    <cellStyle name="Input 2 2" xfId="1401" xr:uid="{00000000-0005-0000-0000-000078050000}"/>
    <cellStyle name="Input 2 20" xfId="1402" xr:uid="{00000000-0005-0000-0000-000079050000}"/>
    <cellStyle name="Input 2 21" xfId="1403" xr:uid="{00000000-0005-0000-0000-00007A050000}"/>
    <cellStyle name="Input 2 22" xfId="1404" xr:uid="{00000000-0005-0000-0000-00007B050000}"/>
    <cellStyle name="Input 2 23" xfId="1405" xr:uid="{00000000-0005-0000-0000-00007C050000}"/>
    <cellStyle name="Input 2 24" xfId="1406" xr:uid="{00000000-0005-0000-0000-00007D050000}"/>
    <cellStyle name="Input 2 25" xfId="1407" xr:uid="{00000000-0005-0000-0000-00007E050000}"/>
    <cellStyle name="Input 2 26" xfId="1408" xr:uid="{00000000-0005-0000-0000-00007F050000}"/>
    <cellStyle name="Input 2 27" xfId="1409" xr:uid="{00000000-0005-0000-0000-000080050000}"/>
    <cellStyle name="Input 2 28" xfId="1410" xr:uid="{00000000-0005-0000-0000-000081050000}"/>
    <cellStyle name="Input 2 29" xfId="1411" xr:uid="{00000000-0005-0000-0000-000082050000}"/>
    <cellStyle name="Input 2 3" xfId="1412" xr:uid="{00000000-0005-0000-0000-000083050000}"/>
    <cellStyle name="Input 2 30" xfId="1413" xr:uid="{00000000-0005-0000-0000-000084050000}"/>
    <cellStyle name="Input 2 31" xfId="1414" xr:uid="{00000000-0005-0000-0000-000085050000}"/>
    <cellStyle name="Input 2 32" xfId="1415" xr:uid="{00000000-0005-0000-0000-000086050000}"/>
    <cellStyle name="Input 2 33" xfId="1416" xr:uid="{00000000-0005-0000-0000-000087050000}"/>
    <cellStyle name="Input 2 34" xfId="1417" xr:uid="{00000000-0005-0000-0000-000088050000}"/>
    <cellStyle name="Input 2 35" xfId="1418" xr:uid="{00000000-0005-0000-0000-000089050000}"/>
    <cellStyle name="Input 2 36" xfId="1419" xr:uid="{00000000-0005-0000-0000-00008A050000}"/>
    <cellStyle name="Input 2 37" xfId="1420" xr:uid="{00000000-0005-0000-0000-00008B050000}"/>
    <cellStyle name="Input 2 38" xfId="1421" xr:uid="{00000000-0005-0000-0000-00008C050000}"/>
    <cellStyle name="Input 2 39" xfId="1422" xr:uid="{00000000-0005-0000-0000-00008D050000}"/>
    <cellStyle name="Input 2 4" xfId="1423" xr:uid="{00000000-0005-0000-0000-00008E050000}"/>
    <cellStyle name="Input 2 40" xfId="1424" xr:uid="{00000000-0005-0000-0000-00008F050000}"/>
    <cellStyle name="Input 2 41" xfId="1425" xr:uid="{00000000-0005-0000-0000-000090050000}"/>
    <cellStyle name="Input 2 42" xfId="1426" xr:uid="{00000000-0005-0000-0000-000091050000}"/>
    <cellStyle name="Input 2 43" xfId="1427" xr:uid="{00000000-0005-0000-0000-000092050000}"/>
    <cellStyle name="Input 2 44" xfId="1428" xr:uid="{00000000-0005-0000-0000-000093050000}"/>
    <cellStyle name="Input 2 45" xfId="1429" xr:uid="{00000000-0005-0000-0000-000094050000}"/>
    <cellStyle name="Input 2 46" xfId="1430" xr:uid="{00000000-0005-0000-0000-000095050000}"/>
    <cellStyle name="Input 2 47" xfId="1431" xr:uid="{00000000-0005-0000-0000-000096050000}"/>
    <cellStyle name="Input 2 48" xfId="1432" xr:uid="{00000000-0005-0000-0000-000097050000}"/>
    <cellStyle name="Input 2 49" xfId="1433" xr:uid="{00000000-0005-0000-0000-000098050000}"/>
    <cellStyle name="Input 2 5" xfId="1434" xr:uid="{00000000-0005-0000-0000-000099050000}"/>
    <cellStyle name="Input 2 6" xfId="1435" xr:uid="{00000000-0005-0000-0000-00009A050000}"/>
    <cellStyle name="Input 2 7" xfId="1436" xr:uid="{00000000-0005-0000-0000-00009B050000}"/>
    <cellStyle name="Input 2 8" xfId="1437" xr:uid="{00000000-0005-0000-0000-00009C050000}"/>
    <cellStyle name="Input 2 9" xfId="1438" xr:uid="{00000000-0005-0000-0000-00009D050000}"/>
    <cellStyle name="Linked Cell 2" xfId="1439" xr:uid="{00000000-0005-0000-0000-00009E050000}"/>
    <cellStyle name="Linked Cell 2 10" xfId="1440" xr:uid="{00000000-0005-0000-0000-00009F050000}"/>
    <cellStyle name="Linked Cell 2 11" xfId="1441" xr:uid="{00000000-0005-0000-0000-0000A0050000}"/>
    <cellStyle name="Linked Cell 2 12" xfId="1442" xr:uid="{00000000-0005-0000-0000-0000A1050000}"/>
    <cellStyle name="Linked Cell 2 13" xfId="1443" xr:uid="{00000000-0005-0000-0000-0000A2050000}"/>
    <cellStyle name="Linked Cell 2 14" xfId="1444" xr:uid="{00000000-0005-0000-0000-0000A3050000}"/>
    <cellStyle name="Linked Cell 2 15" xfId="1445" xr:uid="{00000000-0005-0000-0000-0000A4050000}"/>
    <cellStyle name="Linked Cell 2 16" xfId="1446" xr:uid="{00000000-0005-0000-0000-0000A5050000}"/>
    <cellStyle name="Linked Cell 2 17" xfId="1447" xr:uid="{00000000-0005-0000-0000-0000A6050000}"/>
    <cellStyle name="Linked Cell 2 18" xfId="1448" xr:uid="{00000000-0005-0000-0000-0000A7050000}"/>
    <cellStyle name="Linked Cell 2 19" xfId="1449" xr:uid="{00000000-0005-0000-0000-0000A8050000}"/>
    <cellStyle name="Linked Cell 2 2" xfId="1450" xr:uid="{00000000-0005-0000-0000-0000A9050000}"/>
    <cellStyle name="Linked Cell 2 20" xfId="1451" xr:uid="{00000000-0005-0000-0000-0000AA050000}"/>
    <cellStyle name="Linked Cell 2 21" xfId="1452" xr:uid="{00000000-0005-0000-0000-0000AB050000}"/>
    <cellStyle name="Linked Cell 2 22" xfId="1453" xr:uid="{00000000-0005-0000-0000-0000AC050000}"/>
    <cellStyle name="Linked Cell 2 23" xfId="1454" xr:uid="{00000000-0005-0000-0000-0000AD050000}"/>
    <cellStyle name="Linked Cell 2 24" xfId="1455" xr:uid="{00000000-0005-0000-0000-0000AE050000}"/>
    <cellStyle name="Linked Cell 2 25" xfId="1456" xr:uid="{00000000-0005-0000-0000-0000AF050000}"/>
    <cellStyle name="Linked Cell 2 26" xfId="1457" xr:uid="{00000000-0005-0000-0000-0000B0050000}"/>
    <cellStyle name="Linked Cell 2 27" xfId="1458" xr:uid="{00000000-0005-0000-0000-0000B1050000}"/>
    <cellStyle name="Linked Cell 2 28" xfId="1459" xr:uid="{00000000-0005-0000-0000-0000B2050000}"/>
    <cellStyle name="Linked Cell 2 29" xfId="1460" xr:uid="{00000000-0005-0000-0000-0000B3050000}"/>
    <cellStyle name="Linked Cell 2 3" xfId="1461" xr:uid="{00000000-0005-0000-0000-0000B4050000}"/>
    <cellStyle name="Linked Cell 2 30" xfId="1462" xr:uid="{00000000-0005-0000-0000-0000B5050000}"/>
    <cellStyle name="Linked Cell 2 31" xfId="1463" xr:uid="{00000000-0005-0000-0000-0000B6050000}"/>
    <cellStyle name="Linked Cell 2 32" xfId="1464" xr:uid="{00000000-0005-0000-0000-0000B7050000}"/>
    <cellStyle name="Linked Cell 2 33" xfId="1465" xr:uid="{00000000-0005-0000-0000-0000B8050000}"/>
    <cellStyle name="Linked Cell 2 34" xfId="1466" xr:uid="{00000000-0005-0000-0000-0000B9050000}"/>
    <cellStyle name="Linked Cell 2 35" xfId="1467" xr:uid="{00000000-0005-0000-0000-0000BA050000}"/>
    <cellStyle name="Linked Cell 2 36" xfId="1468" xr:uid="{00000000-0005-0000-0000-0000BB050000}"/>
    <cellStyle name="Linked Cell 2 37" xfId="1469" xr:uid="{00000000-0005-0000-0000-0000BC050000}"/>
    <cellStyle name="Linked Cell 2 38" xfId="1470" xr:uid="{00000000-0005-0000-0000-0000BD050000}"/>
    <cellStyle name="Linked Cell 2 39" xfId="1471" xr:uid="{00000000-0005-0000-0000-0000BE050000}"/>
    <cellStyle name="Linked Cell 2 4" xfId="1472" xr:uid="{00000000-0005-0000-0000-0000BF050000}"/>
    <cellStyle name="Linked Cell 2 40" xfId="1473" xr:uid="{00000000-0005-0000-0000-0000C0050000}"/>
    <cellStyle name="Linked Cell 2 41" xfId="1474" xr:uid="{00000000-0005-0000-0000-0000C1050000}"/>
    <cellStyle name="Linked Cell 2 42" xfId="1475" xr:uid="{00000000-0005-0000-0000-0000C2050000}"/>
    <cellStyle name="Linked Cell 2 43" xfId="1476" xr:uid="{00000000-0005-0000-0000-0000C3050000}"/>
    <cellStyle name="Linked Cell 2 44" xfId="1477" xr:uid="{00000000-0005-0000-0000-0000C4050000}"/>
    <cellStyle name="Linked Cell 2 45" xfId="1478" xr:uid="{00000000-0005-0000-0000-0000C5050000}"/>
    <cellStyle name="Linked Cell 2 46" xfId="1479" xr:uid="{00000000-0005-0000-0000-0000C6050000}"/>
    <cellStyle name="Linked Cell 2 47" xfId="1480" xr:uid="{00000000-0005-0000-0000-0000C7050000}"/>
    <cellStyle name="Linked Cell 2 48" xfId="1481" xr:uid="{00000000-0005-0000-0000-0000C8050000}"/>
    <cellStyle name="Linked Cell 2 49" xfId="1482" xr:uid="{00000000-0005-0000-0000-0000C9050000}"/>
    <cellStyle name="Linked Cell 2 49 2" xfId="1483" xr:uid="{00000000-0005-0000-0000-0000CA050000}"/>
    <cellStyle name="Linked Cell 2 5" xfId="1484" xr:uid="{00000000-0005-0000-0000-0000CB050000}"/>
    <cellStyle name="Linked Cell 2 50" xfId="1485" xr:uid="{00000000-0005-0000-0000-0000CC050000}"/>
    <cellStyle name="Linked Cell 2 50 2" xfId="1486" xr:uid="{00000000-0005-0000-0000-0000CD050000}"/>
    <cellStyle name="Linked Cell 2 6" xfId="1487" xr:uid="{00000000-0005-0000-0000-0000CE050000}"/>
    <cellStyle name="Linked Cell 2 7" xfId="1488" xr:uid="{00000000-0005-0000-0000-0000CF050000}"/>
    <cellStyle name="Linked Cell 2 8" xfId="1489" xr:uid="{00000000-0005-0000-0000-0000D0050000}"/>
    <cellStyle name="Linked Cell 2 9" xfId="1490" xr:uid="{00000000-0005-0000-0000-0000D1050000}"/>
    <cellStyle name="Neutral 2" xfId="1491" xr:uid="{00000000-0005-0000-0000-0000D2050000}"/>
    <cellStyle name="Neutral 2 10" xfId="1492" xr:uid="{00000000-0005-0000-0000-0000D3050000}"/>
    <cellStyle name="Neutral 2 11" xfId="1493" xr:uid="{00000000-0005-0000-0000-0000D4050000}"/>
    <cellStyle name="Neutral 2 12" xfId="1494" xr:uid="{00000000-0005-0000-0000-0000D5050000}"/>
    <cellStyle name="Neutral 2 13" xfId="1495" xr:uid="{00000000-0005-0000-0000-0000D6050000}"/>
    <cellStyle name="Neutral 2 14" xfId="1496" xr:uid="{00000000-0005-0000-0000-0000D7050000}"/>
    <cellStyle name="Neutral 2 15" xfId="1497" xr:uid="{00000000-0005-0000-0000-0000D8050000}"/>
    <cellStyle name="Neutral 2 16" xfId="1498" xr:uid="{00000000-0005-0000-0000-0000D9050000}"/>
    <cellStyle name="Neutral 2 17" xfId="1499" xr:uid="{00000000-0005-0000-0000-0000DA050000}"/>
    <cellStyle name="Neutral 2 18" xfId="1500" xr:uid="{00000000-0005-0000-0000-0000DB050000}"/>
    <cellStyle name="Neutral 2 19" xfId="1501" xr:uid="{00000000-0005-0000-0000-0000DC050000}"/>
    <cellStyle name="Neutral 2 2" xfId="1502" xr:uid="{00000000-0005-0000-0000-0000DD050000}"/>
    <cellStyle name="Neutral 2 20" xfId="1503" xr:uid="{00000000-0005-0000-0000-0000DE050000}"/>
    <cellStyle name="Neutral 2 21" xfId="1504" xr:uid="{00000000-0005-0000-0000-0000DF050000}"/>
    <cellStyle name="Neutral 2 22" xfId="1505" xr:uid="{00000000-0005-0000-0000-0000E0050000}"/>
    <cellStyle name="Neutral 2 23" xfId="1506" xr:uid="{00000000-0005-0000-0000-0000E1050000}"/>
    <cellStyle name="Neutral 2 24" xfId="1507" xr:uid="{00000000-0005-0000-0000-0000E2050000}"/>
    <cellStyle name="Neutral 2 25" xfId="1508" xr:uid="{00000000-0005-0000-0000-0000E3050000}"/>
    <cellStyle name="Neutral 2 26" xfId="1509" xr:uid="{00000000-0005-0000-0000-0000E4050000}"/>
    <cellStyle name="Neutral 2 27" xfId="1510" xr:uid="{00000000-0005-0000-0000-0000E5050000}"/>
    <cellStyle name="Neutral 2 28" xfId="1511" xr:uid="{00000000-0005-0000-0000-0000E6050000}"/>
    <cellStyle name="Neutral 2 29" xfId="1512" xr:uid="{00000000-0005-0000-0000-0000E7050000}"/>
    <cellStyle name="Neutral 2 3" xfId="1513" xr:uid="{00000000-0005-0000-0000-0000E8050000}"/>
    <cellStyle name="Neutral 2 30" xfId="1514" xr:uid="{00000000-0005-0000-0000-0000E9050000}"/>
    <cellStyle name="Neutral 2 31" xfId="1515" xr:uid="{00000000-0005-0000-0000-0000EA050000}"/>
    <cellStyle name="Neutral 2 32" xfId="1516" xr:uid="{00000000-0005-0000-0000-0000EB050000}"/>
    <cellStyle name="Neutral 2 33" xfId="1517" xr:uid="{00000000-0005-0000-0000-0000EC050000}"/>
    <cellStyle name="Neutral 2 34" xfId="1518" xr:uid="{00000000-0005-0000-0000-0000ED050000}"/>
    <cellStyle name="Neutral 2 35" xfId="1519" xr:uid="{00000000-0005-0000-0000-0000EE050000}"/>
    <cellStyle name="Neutral 2 36" xfId="1520" xr:uid="{00000000-0005-0000-0000-0000EF050000}"/>
    <cellStyle name="Neutral 2 37" xfId="1521" xr:uid="{00000000-0005-0000-0000-0000F0050000}"/>
    <cellStyle name="Neutral 2 38" xfId="1522" xr:uid="{00000000-0005-0000-0000-0000F1050000}"/>
    <cellStyle name="Neutral 2 39" xfId="1523" xr:uid="{00000000-0005-0000-0000-0000F2050000}"/>
    <cellStyle name="Neutral 2 4" xfId="1524" xr:uid="{00000000-0005-0000-0000-0000F3050000}"/>
    <cellStyle name="Neutral 2 40" xfId="1525" xr:uid="{00000000-0005-0000-0000-0000F4050000}"/>
    <cellStyle name="Neutral 2 41" xfId="1526" xr:uid="{00000000-0005-0000-0000-0000F5050000}"/>
    <cellStyle name="Neutral 2 42" xfId="1527" xr:uid="{00000000-0005-0000-0000-0000F6050000}"/>
    <cellStyle name="Neutral 2 43" xfId="1528" xr:uid="{00000000-0005-0000-0000-0000F7050000}"/>
    <cellStyle name="Neutral 2 44" xfId="1529" xr:uid="{00000000-0005-0000-0000-0000F8050000}"/>
    <cellStyle name="Neutral 2 45" xfId="1530" xr:uid="{00000000-0005-0000-0000-0000F9050000}"/>
    <cellStyle name="Neutral 2 46" xfId="1531" xr:uid="{00000000-0005-0000-0000-0000FA050000}"/>
    <cellStyle name="Neutral 2 47" xfId="1532" xr:uid="{00000000-0005-0000-0000-0000FB050000}"/>
    <cellStyle name="Neutral 2 48" xfId="1533" xr:uid="{00000000-0005-0000-0000-0000FC050000}"/>
    <cellStyle name="Neutral 2 49" xfId="1534" xr:uid="{00000000-0005-0000-0000-0000FD050000}"/>
    <cellStyle name="Neutral 2 5" xfId="1535" xr:uid="{00000000-0005-0000-0000-0000FE050000}"/>
    <cellStyle name="Neutral 2 6" xfId="1536" xr:uid="{00000000-0005-0000-0000-0000FF050000}"/>
    <cellStyle name="Neutral 2 7" xfId="1537" xr:uid="{00000000-0005-0000-0000-000000060000}"/>
    <cellStyle name="Neutral 2 8" xfId="1538" xr:uid="{00000000-0005-0000-0000-000001060000}"/>
    <cellStyle name="Neutral 2 9" xfId="1539" xr:uid="{00000000-0005-0000-0000-000002060000}"/>
    <cellStyle name="Normal" xfId="0" builtinId="0"/>
    <cellStyle name="Normal 10" xfId="1540" xr:uid="{00000000-0005-0000-0000-000004060000}"/>
    <cellStyle name="Normal 10 2" xfId="1541" xr:uid="{00000000-0005-0000-0000-000005060000}"/>
    <cellStyle name="Normal 100" xfId="1542" xr:uid="{00000000-0005-0000-0000-000006060000}"/>
    <cellStyle name="Normal 100 2" xfId="1543" xr:uid="{00000000-0005-0000-0000-000007060000}"/>
    <cellStyle name="Normal 101" xfId="1544" xr:uid="{00000000-0005-0000-0000-000008060000}"/>
    <cellStyle name="Normal 101 2" xfId="1545" xr:uid="{00000000-0005-0000-0000-000009060000}"/>
    <cellStyle name="Normal 102" xfId="1546" xr:uid="{00000000-0005-0000-0000-00000A060000}"/>
    <cellStyle name="Normal 102 2" xfId="1547" xr:uid="{00000000-0005-0000-0000-00000B060000}"/>
    <cellStyle name="Normal 103" xfId="1548" xr:uid="{00000000-0005-0000-0000-00000C060000}"/>
    <cellStyle name="Normal 103 2" xfId="1549" xr:uid="{00000000-0005-0000-0000-00000D060000}"/>
    <cellStyle name="Normal 104" xfId="1550" xr:uid="{00000000-0005-0000-0000-00000E060000}"/>
    <cellStyle name="Normal 105" xfId="1551" xr:uid="{00000000-0005-0000-0000-00000F060000}"/>
    <cellStyle name="Normal 105 2" xfId="1552" xr:uid="{00000000-0005-0000-0000-000010060000}"/>
    <cellStyle name="Normal 106" xfId="1553" xr:uid="{00000000-0005-0000-0000-000011060000}"/>
    <cellStyle name="Normal 106 2" xfId="1554" xr:uid="{00000000-0005-0000-0000-000012060000}"/>
    <cellStyle name="Normal 107" xfId="1555" xr:uid="{00000000-0005-0000-0000-000013060000}"/>
    <cellStyle name="Normal 107 2" xfId="1556" xr:uid="{00000000-0005-0000-0000-000014060000}"/>
    <cellStyle name="Normal 108" xfId="1557" xr:uid="{00000000-0005-0000-0000-000015060000}"/>
    <cellStyle name="Normal 108 2" xfId="1558" xr:uid="{00000000-0005-0000-0000-000016060000}"/>
    <cellStyle name="Normal 109" xfId="1559" xr:uid="{00000000-0005-0000-0000-000017060000}"/>
    <cellStyle name="Normal 109 2" xfId="1560" xr:uid="{00000000-0005-0000-0000-000018060000}"/>
    <cellStyle name="Normal 11" xfId="1561" xr:uid="{00000000-0005-0000-0000-000019060000}"/>
    <cellStyle name="Normal 11 2" xfId="1562" xr:uid="{00000000-0005-0000-0000-00001A060000}"/>
    <cellStyle name="Normal 110" xfId="1563" xr:uid="{00000000-0005-0000-0000-00001B060000}"/>
    <cellStyle name="Normal 110 2" xfId="1564" xr:uid="{00000000-0005-0000-0000-00001C060000}"/>
    <cellStyle name="Normal 111" xfId="1565" xr:uid="{00000000-0005-0000-0000-00001D060000}"/>
    <cellStyle name="Normal 111 2" xfId="1566" xr:uid="{00000000-0005-0000-0000-00001E060000}"/>
    <cellStyle name="Normal 112" xfId="1567" xr:uid="{00000000-0005-0000-0000-00001F060000}"/>
    <cellStyle name="Normal 112 2" xfId="1568" xr:uid="{00000000-0005-0000-0000-000020060000}"/>
    <cellStyle name="Normal 113" xfId="1569" xr:uid="{00000000-0005-0000-0000-000021060000}"/>
    <cellStyle name="Normal 113 2" xfId="1570" xr:uid="{00000000-0005-0000-0000-000022060000}"/>
    <cellStyle name="Normal 114" xfId="1571" xr:uid="{00000000-0005-0000-0000-000023060000}"/>
    <cellStyle name="Normal 114 2" xfId="1572" xr:uid="{00000000-0005-0000-0000-000024060000}"/>
    <cellStyle name="Normal 115" xfId="1573" xr:uid="{00000000-0005-0000-0000-000025060000}"/>
    <cellStyle name="Normal 115 2" xfId="1574" xr:uid="{00000000-0005-0000-0000-000026060000}"/>
    <cellStyle name="Normal 116" xfId="1575" xr:uid="{00000000-0005-0000-0000-000027060000}"/>
    <cellStyle name="Normal 116 2" xfId="1576" xr:uid="{00000000-0005-0000-0000-000028060000}"/>
    <cellStyle name="Normal 117" xfId="1577" xr:uid="{00000000-0005-0000-0000-000029060000}"/>
    <cellStyle name="Normal 117 2" xfId="1578" xr:uid="{00000000-0005-0000-0000-00002A060000}"/>
    <cellStyle name="Normal 118" xfId="1579" xr:uid="{00000000-0005-0000-0000-00002B060000}"/>
    <cellStyle name="Normal 118 2" xfId="1580" xr:uid="{00000000-0005-0000-0000-00002C060000}"/>
    <cellStyle name="Normal 119" xfId="1581" xr:uid="{00000000-0005-0000-0000-00002D060000}"/>
    <cellStyle name="Normal 12" xfId="1582" xr:uid="{00000000-0005-0000-0000-00002E060000}"/>
    <cellStyle name="Normal 12 2" xfId="1583" xr:uid="{00000000-0005-0000-0000-00002F060000}"/>
    <cellStyle name="Normal 13" xfId="1584" xr:uid="{00000000-0005-0000-0000-000030060000}"/>
    <cellStyle name="Normal 13 2" xfId="1585" xr:uid="{00000000-0005-0000-0000-000031060000}"/>
    <cellStyle name="Normal 13 3" xfId="1586" xr:uid="{00000000-0005-0000-0000-000032060000}"/>
    <cellStyle name="Normal 14" xfId="1587" xr:uid="{00000000-0005-0000-0000-000033060000}"/>
    <cellStyle name="Normal 14 2" xfId="1588" xr:uid="{00000000-0005-0000-0000-000034060000}"/>
    <cellStyle name="Normal 15" xfId="1589" xr:uid="{00000000-0005-0000-0000-000035060000}"/>
    <cellStyle name="Normal 15 2" xfId="1590" xr:uid="{00000000-0005-0000-0000-000036060000}"/>
    <cellStyle name="Normal 16" xfId="1591" xr:uid="{00000000-0005-0000-0000-000037060000}"/>
    <cellStyle name="Normal 16 2" xfId="1592" xr:uid="{00000000-0005-0000-0000-000038060000}"/>
    <cellStyle name="Normal 17" xfId="1593" xr:uid="{00000000-0005-0000-0000-000039060000}"/>
    <cellStyle name="Normal 17 2" xfId="1594" xr:uid="{00000000-0005-0000-0000-00003A060000}"/>
    <cellStyle name="Normal 18" xfId="1595" xr:uid="{00000000-0005-0000-0000-00003B060000}"/>
    <cellStyle name="Normal 18 2" xfId="1596" xr:uid="{00000000-0005-0000-0000-00003C060000}"/>
    <cellStyle name="Normal 19" xfId="1597" xr:uid="{00000000-0005-0000-0000-00003D060000}"/>
    <cellStyle name="Normal 19 2" xfId="1598" xr:uid="{00000000-0005-0000-0000-00003E060000}"/>
    <cellStyle name="Normal 2" xfId="1995" xr:uid="{8DB8B764-DD71-49C1-8AFD-ECB9C3287C50}"/>
    <cellStyle name="Normal 2 10" xfId="1599" xr:uid="{00000000-0005-0000-0000-00003F060000}"/>
    <cellStyle name="Normal 2 11" xfId="1600" xr:uid="{00000000-0005-0000-0000-000040060000}"/>
    <cellStyle name="Normal 2 12" xfId="1601" xr:uid="{00000000-0005-0000-0000-000041060000}"/>
    <cellStyle name="Normal 2 13" xfId="1602" xr:uid="{00000000-0005-0000-0000-000042060000}"/>
    <cellStyle name="Normal 2 14" xfId="1603" xr:uid="{00000000-0005-0000-0000-000043060000}"/>
    <cellStyle name="Normal 2 15" xfId="1604" xr:uid="{00000000-0005-0000-0000-000044060000}"/>
    <cellStyle name="Normal 2 16" xfId="1605" xr:uid="{00000000-0005-0000-0000-000045060000}"/>
    <cellStyle name="Normal 2 17" xfId="1606" xr:uid="{00000000-0005-0000-0000-000046060000}"/>
    <cellStyle name="Normal 2 18" xfId="1607" xr:uid="{00000000-0005-0000-0000-000047060000}"/>
    <cellStyle name="Normal 2 19" xfId="1608" xr:uid="{00000000-0005-0000-0000-000048060000}"/>
    <cellStyle name="Normal 2 2" xfId="1609" xr:uid="{00000000-0005-0000-0000-000049060000}"/>
    <cellStyle name="Normal 2 20" xfId="1610" xr:uid="{00000000-0005-0000-0000-00004A060000}"/>
    <cellStyle name="Normal 2 21" xfId="1611" xr:uid="{00000000-0005-0000-0000-00004B060000}"/>
    <cellStyle name="Normal 2 22" xfId="1612" xr:uid="{00000000-0005-0000-0000-00004C060000}"/>
    <cellStyle name="Normal 2 3" xfId="1613" xr:uid="{00000000-0005-0000-0000-00004D060000}"/>
    <cellStyle name="Normal 2 4" xfId="1614" xr:uid="{00000000-0005-0000-0000-00004E060000}"/>
    <cellStyle name="Normal 2 5" xfId="1615" xr:uid="{00000000-0005-0000-0000-00004F060000}"/>
    <cellStyle name="Normal 2 6" xfId="1616" xr:uid="{00000000-0005-0000-0000-000050060000}"/>
    <cellStyle name="Normal 2 7" xfId="1617" xr:uid="{00000000-0005-0000-0000-000051060000}"/>
    <cellStyle name="Normal 2 8" xfId="1618" xr:uid="{00000000-0005-0000-0000-000052060000}"/>
    <cellStyle name="Normal 2 9" xfId="1619" xr:uid="{00000000-0005-0000-0000-000053060000}"/>
    <cellStyle name="Normal 20" xfId="1620" xr:uid="{00000000-0005-0000-0000-000054060000}"/>
    <cellStyle name="Normal 20 2" xfId="1621" xr:uid="{00000000-0005-0000-0000-000055060000}"/>
    <cellStyle name="Normal 21" xfId="1622" xr:uid="{00000000-0005-0000-0000-000056060000}"/>
    <cellStyle name="Normal 21 2" xfId="1623" xr:uid="{00000000-0005-0000-0000-000057060000}"/>
    <cellStyle name="Normal 22" xfId="1624" xr:uid="{00000000-0005-0000-0000-000058060000}"/>
    <cellStyle name="Normal 22 2" xfId="1625" xr:uid="{00000000-0005-0000-0000-000059060000}"/>
    <cellStyle name="Normal 23" xfId="1626" xr:uid="{00000000-0005-0000-0000-00005A060000}"/>
    <cellStyle name="Normal 23 2" xfId="1627" xr:uid="{00000000-0005-0000-0000-00005B060000}"/>
    <cellStyle name="Normal 24" xfId="1628" xr:uid="{00000000-0005-0000-0000-00005C060000}"/>
    <cellStyle name="Normal 24 2" xfId="1629" xr:uid="{00000000-0005-0000-0000-00005D060000}"/>
    <cellStyle name="Normal 25" xfId="1630" xr:uid="{00000000-0005-0000-0000-00005E060000}"/>
    <cellStyle name="Normal 25 2" xfId="1631" xr:uid="{00000000-0005-0000-0000-00005F060000}"/>
    <cellStyle name="Normal 26" xfId="1632" xr:uid="{00000000-0005-0000-0000-000060060000}"/>
    <cellStyle name="Normal 26 2" xfId="1633" xr:uid="{00000000-0005-0000-0000-000061060000}"/>
    <cellStyle name="Normal 27" xfId="1634" xr:uid="{00000000-0005-0000-0000-000062060000}"/>
    <cellStyle name="Normal 27 2" xfId="1635" xr:uid="{00000000-0005-0000-0000-000063060000}"/>
    <cellStyle name="Normal 28" xfId="1636" xr:uid="{00000000-0005-0000-0000-000064060000}"/>
    <cellStyle name="Normal 28 2" xfId="1637" xr:uid="{00000000-0005-0000-0000-000065060000}"/>
    <cellStyle name="Normal 29" xfId="1638" xr:uid="{00000000-0005-0000-0000-000066060000}"/>
    <cellStyle name="Normal 29 2" xfId="1639" xr:uid="{00000000-0005-0000-0000-000067060000}"/>
    <cellStyle name="Normal 3" xfId="1640" xr:uid="{00000000-0005-0000-0000-000068060000}"/>
    <cellStyle name="Normal 3 2" xfId="1641" xr:uid="{00000000-0005-0000-0000-000069060000}"/>
    <cellStyle name="Normal 30" xfId="1642" xr:uid="{00000000-0005-0000-0000-00006A060000}"/>
    <cellStyle name="Normal 30 2" xfId="1643" xr:uid="{00000000-0005-0000-0000-00006B060000}"/>
    <cellStyle name="Normal 31" xfId="1644" xr:uid="{00000000-0005-0000-0000-00006C060000}"/>
    <cellStyle name="Normal 31 2" xfId="1645" xr:uid="{00000000-0005-0000-0000-00006D060000}"/>
    <cellStyle name="Normal 32" xfId="1646" xr:uid="{00000000-0005-0000-0000-00006E060000}"/>
    <cellStyle name="Normal 32 2" xfId="1647" xr:uid="{00000000-0005-0000-0000-00006F060000}"/>
    <cellStyle name="Normal 33" xfId="1648" xr:uid="{00000000-0005-0000-0000-000070060000}"/>
    <cellStyle name="Normal 33 2" xfId="1649" xr:uid="{00000000-0005-0000-0000-000071060000}"/>
    <cellStyle name="Normal 34" xfId="1650" xr:uid="{00000000-0005-0000-0000-000072060000}"/>
    <cellStyle name="Normal 34 2" xfId="1651" xr:uid="{00000000-0005-0000-0000-000073060000}"/>
    <cellStyle name="Normal 35" xfId="1652" xr:uid="{00000000-0005-0000-0000-000074060000}"/>
    <cellStyle name="Normal 35 2" xfId="1653" xr:uid="{00000000-0005-0000-0000-000075060000}"/>
    <cellStyle name="Normal 36" xfId="1654" xr:uid="{00000000-0005-0000-0000-000076060000}"/>
    <cellStyle name="Normal 36 2" xfId="1655" xr:uid="{00000000-0005-0000-0000-000077060000}"/>
    <cellStyle name="Normal 37" xfId="1656" xr:uid="{00000000-0005-0000-0000-000078060000}"/>
    <cellStyle name="Normal 37 2" xfId="1657" xr:uid="{00000000-0005-0000-0000-000079060000}"/>
    <cellStyle name="Normal 38" xfId="1658" xr:uid="{00000000-0005-0000-0000-00007A060000}"/>
    <cellStyle name="Normal 38 2" xfId="1659" xr:uid="{00000000-0005-0000-0000-00007B060000}"/>
    <cellStyle name="Normal 39" xfId="1660" xr:uid="{00000000-0005-0000-0000-00007C060000}"/>
    <cellStyle name="Normal 39 2" xfId="1661" xr:uid="{00000000-0005-0000-0000-00007D060000}"/>
    <cellStyle name="Normal 4" xfId="1662" xr:uid="{00000000-0005-0000-0000-00007E060000}"/>
    <cellStyle name="Normal 4 2" xfId="1663" xr:uid="{00000000-0005-0000-0000-00007F060000}"/>
    <cellStyle name="Normal 40" xfId="1664" xr:uid="{00000000-0005-0000-0000-000080060000}"/>
    <cellStyle name="Normal 40 2" xfId="1665" xr:uid="{00000000-0005-0000-0000-000081060000}"/>
    <cellStyle name="Normal 41" xfId="1666" xr:uid="{00000000-0005-0000-0000-000082060000}"/>
    <cellStyle name="Normal 41 2" xfId="1667" xr:uid="{00000000-0005-0000-0000-000083060000}"/>
    <cellStyle name="Normal 42" xfId="1668" xr:uid="{00000000-0005-0000-0000-000084060000}"/>
    <cellStyle name="Normal 42 2" xfId="1669" xr:uid="{00000000-0005-0000-0000-000085060000}"/>
    <cellStyle name="Normal 43" xfId="1670" xr:uid="{00000000-0005-0000-0000-000086060000}"/>
    <cellStyle name="Normal 43 2" xfId="1671" xr:uid="{00000000-0005-0000-0000-000087060000}"/>
    <cellStyle name="Normal 44" xfId="1672" xr:uid="{00000000-0005-0000-0000-000088060000}"/>
    <cellStyle name="Normal 44 2" xfId="1673" xr:uid="{00000000-0005-0000-0000-000089060000}"/>
    <cellStyle name="Normal 45" xfId="1674" xr:uid="{00000000-0005-0000-0000-00008A060000}"/>
    <cellStyle name="Normal 45 2" xfId="1675" xr:uid="{00000000-0005-0000-0000-00008B060000}"/>
    <cellStyle name="Normal 46" xfId="1676" xr:uid="{00000000-0005-0000-0000-00008C060000}"/>
    <cellStyle name="Normal 46 2" xfId="1677" xr:uid="{00000000-0005-0000-0000-00008D060000}"/>
    <cellStyle name="Normal 47" xfId="1678" xr:uid="{00000000-0005-0000-0000-00008E060000}"/>
    <cellStyle name="Normal 47 2" xfId="1679" xr:uid="{00000000-0005-0000-0000-00008F060000}"/>
    <cellStyle name="Normal 48" xfId="1680" xr:uid="{00000000-0005-0000-0000-000090060000}"/>
    <cellStyle name="Normal 48 2" xfId="1681" xr:uid="{00000000-0005-0000-0000-000091060000}"/>
    <cellStyle name="Normal 49" xfId="1682" xr:uid="{00000000-0005-0000-0000-000092060000}"/>
    <cellStyle name="Normal 49 2" xfId="1683" xr:uid="{00000000-0005-0000-0000-000093060000}"/>
    <cellStyle name="Normal 5" xfId="1684" xr:uid="{00000000-0005-0000-0000-000094060000}"/>
    <cellStyle name="Normal 5 2" xfId="1685" xr:uid="{00000000-0005-0000-0000-000095060000}"/>
    <cellStyle name="Normal 50" xfId="1686" xr:uid="{00000000-0005-0000-0000-000096060000}"/>
    <cellStyle name="Normal 50 2" xfId="1687" xr:uid="{00000000-0005-0000-0000-000097060000}"/>
    <cellStyle name="Normal 51" xfId="1688" xr:uid="{00000000-0005-0000-0000-000098060000}"/>
    <cellStyle name="Normal 51 2" xfId="1689" xr:uid="{00000000-0005-0000-0000-000099060000}"/>
    <cellStyle name="Normal 52" xfId="1690" xr:uid="{00000000-0005-0000-0000-00009A060000}"/>
    <cellStyle name="Normal 52 2" xfId="1691" xr:uid="{00000000-0005-0000-0000-00009B060000}"/>
    <cellStyle name="Normal 53" xfId="1692" xr:uid="{00000000-0005-0000-0000-00009C060000}"/>
    <cellStyle name="Normal 53 2" xfId="1693" xr:uid="{00000000-0005-0000-0000-00009D060000}"/>
    <cellStyle name="Normal 54" xfId="1694" xr:uid="{00000000-0005-0000-0000-00009E060000}"/>
    <cellStyle name="Normal 54 2" xfId="1695" xr:uid="{00000000-0005-0000-0000-00009F060000}"/>
    <cellStyle name="Normal 55" xfId="1696" xr:uid="{00000000-0005-0000-0000-0000A0060000}"/>
    <cellStyle name="Normal 55 2" xfId="1697" xr:uid="{00000000-0005-0000-0000-0000A1060000}"/>
    <cellStyle name="Normal 56" xfId="1698" xr:uid="{00000000-0005-0000-0000-0000A2060000}"/>
    <cellStyle name="Normal 56 2" xfId="1699" xr:uid="{00000000-0005-0000-0000-0000A3060000}"/>
    <cellStyle name="Normal 57" xfId="1700" xr:uid="{00000000-0005-0000-0000-0000A4060000}"/>
    <cellStyle name="Normal 57 2" xfId="1701" xr:uid="{00000000-0005-0000-0000-0000A5060000}"/>
    <cellStyle name="Normal 58" xfId="1702" xr:uid="{00000000-0005-0000-0000-0000A6060000}"/>
    <cellStyle name="Normal 58 2" xfId="1703" xr:uid="{00000000-0005-0000-0000-0000A7060000}"/>
    <cellStyle name="Normal 59" xfId="1704" xr:uid="{00000000-0005-0000-0000-0000A8060000}"/>
    <cellStyle name="Normal 59 2" xfId="1705" xr:uid="{00000000-0005-0000-0000-0000A9060000}"/>
    <cellStyle name="Normal 6" xfId="1706" xr:uid="{00000000-0005-0000-0000-0000AA060000}"/>
    <cellStyle name="Normal 6 2" xfId="1707" xr:uid="{00000000-0005-0000-0000-0000AB060000}"/>
    <cellStyle name="Normal 60" xfId="1708" xr:uid="{00000000-0005-0000-0000-0000AC060000}"/>
    <cellStyle name="Normal 60 2" xfId="1709" xr:uid="{00000000-0005-0000-0000-0000AD060000}"/>
    <cellStyle name="Normal 61" xfId="1710" xr:uid="{00000000-0005-0000-0000-0000AE060000}"/>
    <cellStyle name="Normal 61 2" xfId="1711" xr:uid="{00000000-0005-0000-0000-0000AF060000}"/>
    <cellStyle name="Normal 62" xfId="1712" xr:uid="{00000000-0005-0000-0000-0000B0060000}"/>
    <cellStyle name="Normal 62 2" xfId="1713" xr:uid="{00000000-0005-0000-0000-0000B1060000}"/>
    <cellStyle name="Normal 63" xfId="1714" xr:uid="{00000000-0005-0000-0000-0000B2060000}"/>
    <cellStyle name="Normal 63 2" xfId="1715" xr:uid="{00000000-0005-0000-0000-0000B3060000}"/>
    <cellStyle name="Normal 64" xfId="1716" xr:uid="{00000000-0005-0000-0000-0000B4060000}"/>
    <cellStyle name="Normal 64 2" xfId="1717" xr:uid="{00000000-0005-0000-0000-0000B5060000}"/>
    <cellStyle name="Normal 65" xfId="1718" xr:uid="{00000000-0005-0000-0000-0000B6060000}"/>
    <cellStyle name="Normal 65 2" xfId="1719" xr:uid="{00000000-0005-0000-0000-0000B7060000}"/>
    <cellStyle name="Normal 66" xfId="1720" xr:uid="{00000000-0005-0000-0000-0000B8060000}"/>
    <cellStyle name="Normal 66 2" xfId="1721" xr:uid="{00000000-0005-0000-0000-0000B9060000}"/>
    <cellStyle name="Normal 67" xfId="1722" xr:uid="{00000000-0005-0000-0000-0000BA060000}"/>
    <cellStyle name="Normal 67 2" xfId="1723" xr:uid="{00000000-0005-0000-0000-0000BB060000}"/>
    <cellStyle name="Normal 68" xfId="1724" xr:uid="{00000000-0005-0000-0000-0000BC060000}"/>
    <cellStyle name="Normal 68 2" xfId="1725" xr:uid="{00000000-0005-0000-0000-0000BD060000}"/>
    <cellStyle name="Normal 69" xfId="1726" xr:uid="{00000000-0005-0000-0000-0000BE060000}"/>
    <cellStyle name="Normal 69 2" xfId="1727" xr:uid="{00000000-0005-0000-0000-0000BF060000}"/>
    <cellStyle name="Normal 7" xfId="1728" xr:uid="{00000000-0005-0000-0000-0000C0060000}"/>
    <cellStyle name="Normal 7 2" xfId="1729" xr:uid="{00000000-0005-0000-0000-0000C1060000}"/>
    <cellStyle name="Normal 70" xfId="1730" xr:uid="{00000000-0005-0000-0000-0000C2060000}"/>
    <cellStyle name="Normal 70 2" xfId="1731" xr:uid="{00000000-0005-0000-0000-0000C3060000}"/>
    <cellStyle name="Normal 71" xfId="1732" xr:uid="{00000000-0005-0000-0000-0000C4060000}"/>
    <cellStyle name="Normal 71 2" xfId="1733" xr:uid="{00000000-0005-0000-0000-0000C5060000}"/>
    <cellStyle name="Normal 72" xfId="1734" xr:uid="{00000000-0005-0000-0000-0000C6060000}"/>
    <cellStyle name="Normal 72 2" xfId="1735" xr:uid="{00000000-0005-0000-0000-0000C7060000}"/>
    <cellStyle name="Normal 73" xfId="1736" xr:uid="{00000000-0005-0000-0000-0000C8060000}"/>
    <cellStyle name="Normal 73 2" xfId="1737" xr:uid="{00000000-0005-0000-0000-0000C9060000}"/>
    <cellStyle name="Normal 74" xfId="1738" xr:uid="{00000000-0005-0000-0000-0000CA060000}"/>
    <cellStyle name="Normal 74 2" xfId="1739" xr:uid="{00000000-0005-0000-0000-0000CB060000}"/>
    <cellStyle name="Normal 75" xfId="1740" xr:uid="{00000000-0005-0000-0000-0000CC060000}"/>
    <cellStyle name="Normal 75 2" xfId="1741" xr:uid="{00000000-0005-0000-0000-0000CD060000}"/>
    <cellStyle name="Normal 76" xfId="1742" xr:uid="{00000000-0005-0000-0000-0000CE060000}"/>
    <cellStyle name="Normal 76 2" xfId="1743" xr:uid="{00000000-0005-0000-0000-0000CF060000}"/>
    <cellStyle name="Normal 77" xfId="1744" xr:uid="{00000000-0005-0000-0000-0000D0060000}"/>
    <cellStyle name="Normal 77 2" xfId="1745" xr:uid="{00000000-0005-0000-0000-0000D1060000}"/>
    <cellStyle name="Normal 78" xfId="1746" xr:uid="{00000000-0005-0000-0000-0000D2060000}"/>
    <cellStyle name="Normal 78 2" xfId="1747" xr:uid="{00000000-0005-0000-0000-0000D3060000}"/>
    <cellStyle name="Normal 79" xfId="1748" xr:uid="{00000000-0005-0000-0000-0000D4060000}"/>
    <cellStyle name="Normal 79 2" xfId="1749" xr:uid="{00000000-0005-0000-0000-0000D5060000}"/>
    <cellStyle name="Normal 8" xfId="1750" xr:uid="{00000000-0005-0000-0000-0000D6060000}"/>
    <cellStyle name="Normal 8 2" xfId="1751" xr:uid="{00000000-0005-0000-0000-0000D7060000}"/>
    <cellStyle name="Normal 80" xfId="1752" xr:uid="{00000000-0005-0000-0000-0000D8060000}"/>
    <cellStyle name="Normal 80 2" xfId="1753" xr:uid="{00000000-0005-0000-0000-0000D9060000}"/>
    <cellStyle name="Normal 81" xfId="1754" xr:uid="{00000000-0005-0000-0000-0000DA060000}"/>
    <cellStyle name="Normal 81 2" xfId="1755" xr:uid="{00000000-0005-0000-0000-0000DB060000}"/>
    <cellStyle name="Normal 82" xfId="1756" xr:uid="{00000000-0005-0000-0000-0000DC060000}"/>
    <cellStyle name="Normal 82 2" xfId="1757" xr:uid="{00000000-0005-0000-0000-0000DD060000}"/>
    <cellStyle name="Normal 83" xfId="1758" xr:uid="{00000000-0005-0000-0000-0000DE060000}"/>
    <cellStyle name="Normal 83 2" xfId="1759" xr:uid="{00000000-0005-0000-0000-0000DF060000}"/>
    <cellStyle name="Normal 84" xfId="1760" xr:uid="{00000000-0005-0000-0000-0000E0060000}"/>
    <cellStyle name="Normal 84 2" xfId="1761" xr:uid="{00000000-0005-0000-0000-0000E1060000}"/>
    <cellStyle name="Normal 85" xfId="1762" xr:uid="{00000000-0005-0000-0000-0000E2060000}"/>
    <cellStyle name="Normal 85 2" xfId="1763" xr:uid="{00000000-0005-0000-0000-0000E3060000}"/>
    <cellStyle name="Normal 86" xfId="1764" xr:uid="{00000000-0005-0000-0000-0000E4060000}"/>
    <cellStyle name="Normal 86 2" xfId="1765" xr:uid="{00000000-0005-0000-0000-0000E5060000}"/>
    <cellStyle name="Normal 87" xfId="1766" xr:uid="{00000000-0005-0000-0000-0000E6060000}"/>
    <cellStyle name="Normal 87 2" xfId="1767" xr:uid="{00000000-0005-0000-0000-0000E7060000}"/>
    <cellStyle name="Normal 88" xfId="1768" xr:uid="{00000000-0005-0000-0000-0000E8060000}"/>
    <cellStyle name="Normal 88 2" xfId="1769" xr:uid="{00000000-0005-0000-0000-0000E9060000}"/>
    <cellStyle name="Normal 89" xfId="1770" xr:uid="{00000000-0005-0000-0000-0000EA060000}"/>
    <cellStyle name="Normal 89 2" xfId="1771" xr:uid="{00000000-0005-0000-0000-0000EB060000}"/>
    <cellStyle name="Normal 9" xfId="1772" xr:uid="{00000000-0005-0000-0000-0000EC060000}"/>
    <cellStyle name="Normal 9 2" xfId="1773" xr:uid="{00000000-0005-0000-0000-0000ED060000}"/>
    <cellStyle name="Normal 90" xfId="1774" xr:uid="{00000000-0005-0000-0000-0000EE060000}"/>
    <cellStyle name="Normal 90 2" xfId="1775" xr:uid="{00000000-0005-0000-0000-0000EF060000}"/>
    <cellStyle name="Normal 91" xfId="1776" xr:uid="{00000000-0005-0000-0000-0000F0060000}"/>
    <cellStyle name="Normal 91 2" xfId="1777" xr:uid="{00000000-0005-0000-0000-0000F1060000}"/>
    <cellStyle name="Normal 92" xfId="1778" xr:uid="{00000000-0005-0000-0000-0000F2060000}"/>
    <cellStyle name="Normal 92 2" xfId="1779" xr:uid="{00000000-0005-0000-0000-0000F3060000}"/>
    <cellStyle name="Normal 93" xfId="1780" xr:uid="{00000000-0005-0000-0000-0000F4060000}"/>
    <cellStyle name="Normal 93 2" xfId="1781" xr:uid="{00000000-0005-0000-0000-0000F5060000}"/>
    <cellStyle name="Normal 94" xfId="1782" xr:uid="{00000000-0005-0000-0000-0000F6060000}"/>
    <cellStyle name="Normal 94 2" xfId="1783" xr:uid="{00000000-0005-0000-0000-0000F7060000}"/>
    <cellStyle name="Normal 95" xfId="1784" xr:uid="{00000000-0005-0000-0000-0000F8060000}"/>
    <cellStyle name="Normal 95 2" xfId="1785" xr:uid="{00000000-0005-0000-0000-0000F9060000}"/>
    <cellStyle name="Normal 96" xfId="1786" xr:uid="{00000000-0005-0000-0000-0000FA060000}"/>
    <cellStyle name="Normal 96 2" xfId="1787" xr:uid="{00000000-0005-0000-0000-0000FB060000}"/>
    <cellStyle name="Normal 97" xfId="1788" xr:uid="{00000000-0005-0000-0000-0000FC060000}"/>
    <cellStyle name="Normal 97 2" xfId="1789" xr:uid="{00000000-0005-0000-0000-0000FD060000}"/>
    <cellStyle name="Normal 98" xfId="1790" xr:uid="{00000000-0005-0000-0000-0000FE060000}"/>
    <cellStyle name="Normal 98 2" xfId="1791" xr:uid="{00000000-0005-0000-0000-0000FF060000}"/>
    <cellStyle name="Normal 99" xfId="1792" xr:uid="{00000000-0005-0000-0000-000000070000}"/>
    <cellStyle name="Normal 99 2" xfId="1793" xr:uid="{00000000-0005-0000-0000-000001070000}"/>
    <cellStyle name="Note 2" xfId="1794" xr:uid="{00000000-0005-0000-0000-000002070000}"/>
    <cellStyle name="Note 2 10" xfId="1795" xr:uid="{00000000-0005-0000-0000-000003070000}"/>
    <cellStyle name="Note 2 11" xfId="1796" xr:uid="{00000000-0005-0000-0000-000004070000}"/>
    <cellStyle name="Note 2 12" xfId="1797" xr:uid="{00000000-0005-0000-0000-000005070000}"/>
    <cellStyle name="Note 2 13" xfId="1798" xr:uid="{00000000-0005-0000-0000-000006070000}"/>
    <cellStyle name="Note 2 14" xfId="1799" xr:uid="{00000000-0005-0000-0000-000007070000}"/>
    <cellStyle name="Note 2 15" xfId="1800" xr:uid="{00000000-0005-0000-0000-000008070000}"/>
    <cellStyle name="Note 2 16" xfId="1801" xr:uid="{00000000-0005-0000-0000-000009070000}"/>
    <cellStyle name="Note 2 17" xfId="1802" xr:uid="{00000000-0005-0000-0000-00000A070000}"/>
    <cellStyle name="Note 2 18" xfId="1803" xr:uid="{00000000-0005-0000-0000-00000B070000}"/>
    <cellStyle name="Note 2 19" xfId="1804" xr:uid="{00000000-0005-0000-0000-00000C070000}"/>
    <cellStyle name="Note 2 2" xfId="1805" xr:uid="{00000000-0005-0000-0000-00000D070000}"/>
    <cellStyle name="Note 2 20" xfId="1806" xr:uid="{00000000-0005-0000-0000-00000E070000}"/>
    <cellStyle name="Note 2 21" xfId="1807" xr:uid="{00000000-0005-0000-0000-00000F070000}"/>
    <cellStyle name="Note 2 22" xfId="1808" xr:uid="{00000000-0005-0000-0000-000010070000}"/>
    <cellStyle name="Note 2 23" xfId="1809" xr:uid="{00000000-0005-0000-0000-000011070000}"/>
    <cellStyle name="Note 2 24" xfId="1810" xr:uid="{00000000-0005-0000-0000-000012070000}"/>
    <cellStyle name="Note 2 25" xfId="1811" xr:uid="{00000000-0005-0000-0000-000013070000}"/>
    <cellStyle name="Note 2 26" xfId="1812" xr:uid="{00000000-0005-0000-0000-000014070000}"/>
    <cellStyle name="Note 2 27" xfId="1813" xr:uid="{00000000-0005-0000-0000-000015070000}"/>
    <cellStyle name="Note 2 28" xfId="1814" xr:uid="{00000000-0005-0000-0000-000016070000}"/>
    <cellStyle name="Note 2 29" xfId="1815" xr:uid="{00000000-0005-0000-0000-000017070000}"/>
    <cellStyle name="Note 2 3" xfId="1816" xr:uid="{00000000-0005-0000-0000-000018070000}"/>
    <cellStyle name="Note 2 30" xfId="1817" xr:uid="{00000000-0005-0000-0000-000019070000}"/>
    <cellStyle name="Note 2 31" xfId="1818" xr:uid="{00000000-0005-0000-0000-00001A070000}"/>
    <cellStyle name="Note 2 32" xfId="1819" xr:uid="{00000000-0005-0000-0000-00001B070000}"/>
    <cellStyle name="Note 2 33" xfId="1820" xr:uid="{00000000-0005-0000-0000-00001C070000}"/>
    <cellStyle name="Note 2 34" xfId="1821" xr:uid="{00000000-0005-0000-0000-00001D070000}"/>
    <cellStyle name="Note 2 35" xfId="1822" xr:uid="{00000000-0005-0000-0000-00001E070000}"/>
    <cellStyle name="Note 2 36" xfId="1823" xr:uid="{00000000-0005-0000-0000-00001F070000}"/>
    <cellStyle name="Note 2 37" xfId="1824" xr:uid="{00000000-0005-0000-0000-000020070000}"/>
    <cellStyle name="Note 2 38" xfId="1825" xr:uid="{00000000-0005-0000-0000-000021070000}"/>
    <cellStyle name="Note 2 39" xfId="1826" xr:uid="{00000000-0005-0000-0000-000022070000}"/>
    <cellStyle name="Note 2 4" xfId="1827" xr:uid="{00000000-0005-0000-0000-000023070000}"/>
    <cellStyle name="Note 2 40" xfId="1828" xr:uid="{00000000-0005-0000-0000-000024070000}"/>
    <cellStyle name="Note 2 41" xfId="1829" xr:uid="{00000000-0005-0000-0000-000025070000}"/>
    <cellStyle name="Note 2 42" xfId="1830" xr:uid="{00000000-0005-0000-0000-000026070000}"/>
    <cellStyle name="Note 2 43" xfId="1831" xr:uid="{00000000-0005-0000-0000-000027070000}"/>
    <cellStyle name="Note 2 44" xfId="1832" xr:uid="{00000000-0005-0000-0000-000028070000}"/>
    <cellStyle name="Note 2 45" xfId="1833" xr:uid="{00000000-0005-0000-0000-000029070000}"/>
    <cellStyle name="Note 2 46" xfId="1834" xr:uid="{00000000-0005-0000-0000-00002A070000}"/>
    <cellStyle name="Note 2 47" xfId="1835" xr:uid="{00000000-0005-0000-0000-00002B070000}"/>
    <cellStyle name="Note 2 48" xfId="1836" xr:uid="{00000000-0005-0000-0000-00002C070000}"/>
    <cellStyle name="Note 2 49" xfId="1837" xr:uid="{00000000-0005-0000-0000-00002D070000}"/>
    <cellStyle name="Note 2 5" xfId="1838" xr:uid="{00000000-0005-0000-0000-00002E070000}"/>
    <cellStyle name="Note 2 6" xfId="1839" xr:uid="{00000000-0005-0000-0000-00002F070000}"/>
    <cellStyle name="Note 2 7" xfId="1840" xr:uid="{00000000-0005-0000-0000-000030070000}"/>
    <cellStyle name="Note 2 8" xfId="1841" xr:uid="{00000000-0005-0000-0000-000031070000}"/>
    <cellStyle name="Note 2 9" xfId="1842" xr:uid="{00000000-0005-0000-0000-000032070000}"/>
    <cellStyle name="Output 2" xfId="1843" xr:uid="{00000000-0005-0000-0000-000033070000}"/>
    <cellStyle name="Output 2 10" xfId="1844" xr:uid="{00000000-0005-0000-0000-000034070000}"/>
    <cellStyle name="Output 2 11" xfId="1845" xr:uid="{00000000-0005-0000-0000-000035070000}"/>
    <cellStyle name="Output 2 12" xfId="1846" xr:uid="{00000000-0005-0000-0000-000036070000}"/>
    <cellStyle name="Output 2 13" xfId="1847" xr:uid="{00000000-0005-0000-0000-000037070000}"/>
    <cellStyle name="Output 2 14" xfId="1848" xr:uid="{00000000-0005-0000-0000-000038070000}"/>
    <cellStyle name="Output 2 15" xfId="1849" xr:uid="{00000000-0005-0000-0000-000039070000}"/>
    <cellStyle name="Output 2 16" xfId="1850" xr:uid="{00000000-0005-0000-0000-00003A070000}"/>
    <cellStyle name="Output 2 17" xfId="1851" xr:uid="{00000000-0005-0000-0000-00003B070000}"/>
    <cellStyle name="Output 2 18" xfId="1852" xr:uid="{00000000-0005-0000-0000-00003C070000}"/>
    <cellStyle name="Output 2 19" xfId="1853" xr:uid="{00000000-0005-0000-0000-00003D070000}"/>
    <cellStyle name="Output 2 2" xfId="1854" xr:uid="{00000000-0005-0000-0000-00003E070000}"/>
    <cellStyle name="Output 2 20" xfId="1855" xr:uid="{00000000-0005-0000-0000-00003F070000}"/>
    <cellStyle name="Output 2 21" xfId="1856" xr:uid="{00000000-0005-0000-0000-000040070000}"/>
    <cellStyle name="Output 2 22" xfId="1857" xr:uid="{00000000-0005-0000-0000-000041070000}"/>
    <cellStyle name="Output 2 23" xfId="1858" xr:uid="{00000000-0005-0000-0000-000042070000}"/>
    <cellStyle name="Output 2 24" xfId="1859" xr:uid="{00000000-0005-0000-0000-000043070000}"/>
    <cellStyle name="Output 2 25" xfId="1860" xr:uid="{00000000-0005-0000-0000-000044070000}"/>
    <cellStyle name="Output 2 26" xfId="1861" xr:uid="{00000000-0005-0000-0000-000045070000}"/>
    <cellStyle name="Output 2 27" xfId="1862" xr:uid="{00000000-0005-0000-0000-000046070000}"/>
    <cellStyle name="Output 2 28" xfId="1863" xr:uid="{00000000-0005-0000-0000-000047070000}"/>
    <cellStyle name="Output 2 29" xfId="1864" xr:uid="{00000000-0005-0000-0000-000048070000}"/>
    <cellStyle name="Output 2 3" xfId="1865" xr:uid="{00000000-0005-0000-0000-000049070000}"/>
    <cellStyle name="Output 2 30" xfId="1866" xr:uid="{00000000-0005-0000-0000-00004A070000}"/>
    <cellStyle name="Output 2 31" xfId="1867" xr:uid="{00000000-0005-0000-0000-00004B070000}"/>
    <cellStyle name="Output 2 32" xfId="1868" xr:uid="{00000000-0005-0000-0000-00004C070000}"/>
    <cellStyle name="Output 2 33" xfId="1869" xr:uid="{00000000-0005-0000-0000-00004D070000}"/>
    <cellStyle name="Output 2 34" xfId="1870" xr:uid="{00000000-0005-0000-0000-00004E070000}"/>
    <cellStyle name="Output 2 35" xfId="1871" xr:uid="{00000000-0005-0000-0000-00004F070000}"/>
    <cellStyle name="Output 2 36" xfId="1872" xr:uid="{00000000-0005-0000-0000-000050070000}"/>
    <cellStyle name="Output 2 37" xfId="1873" xr:uid="{00000000-0005-0000-0000-000051070000}"/>
    <cellStyle name="Output 2 38" xfId="1874" xr:uid="{00000000-0005-0000-0000-000052070000}"/>
    <cellStyle name="Output 2 39" xfId="1875" xr:uid="{00000000-0005-0000-0000-000053070000}"/>
    <cellStyle name="Output 2 4" xfId="1876" xr:uid="{00000000-0005-0000-0000-000054070000}"/>
    <cellStyle name="Output 2 40" xfId="1877" xr:uid="{00000000-0005-0000-0000-000055070000}"/>
    <cellStyle name="Output 2 41" xfId="1878" xr:uid="{00000000-0005-0000-0000-000056070000}"/>
    <cellStyle name="Output 2 42" xfId="1879" xr:uid="{00000000-0005-0000-0000-000057070000}"/>
    <cellStyle name="Output 2 43" xfId="1880" xr:uid="{00000000-0005-0000-0000-000058070000}"/>
    <cellStyle name="Output 2 44" xfId="1881" xr:uid="{00000000-0005-0000-0000-000059070000}"/>
    <cellStyle name="Output 2 45" xfId="1882" xr:uid="{00000000-0005-0000-0000-00005A070000}"/>
    <cellStyle name="Output 2 46" xfId="1883" xr:uid="{00000000-0005-0000-0000-00005B070000}"/>
    <cellStyle name="Output 2 47" xfId="1884" xr:uid="{00000000-0005-0000-0000-00005C070000}"/>
    <cellStyle name="Output 2 48" xfId="1885" xr:uid="{00000000-0005-0000-0000-00005D070000}"/>
    <cellStyle name="Output 2 49" xfId="1886" xr:uid="{00000000-0005-0000-0000-00005E070000}"/>
    <cellStyle name="Output 2 5" xfId="1887" xr:uid="{00000000-0005-0000-0000-00005F070000}"/>
    <cellStyle name="Output 2 6" xfId="1888" xr:uid="{00000000-0005-0000-0000-000060070000}"/>
    <cellStyle name="Output 2 7" xfId="1889" xr:uid="{00000000-0005-0000-0000-000061070000}"/>
    <cellStyle name="Output 2 8" xfId="1890" xr:uid="{00000000-0005-0000-0000-000062070000}"/>
    <cellStyle name="Output 2 9" xfId="1891" xr:uid="{00000000-0005-0000-0000-000063070000}"/>
    <cellStyle name="Standard_2006-UK" xfId="1892" xr:uid="{00000000-0005-0000-0000-000064070000}"/>
    <cellStyle name="Title 2" xfId="1893" xr:uid="{00000000-0005-0000-0000-000065070000}"/>
    <cellStyle name="Title 2 10" xfId="1894" xr:uid="{00000000-0005-0000-0000-000066070000}"/>
    <cellStyle name="Title 2 11" xfId="1895" xr:uid="{00000000-0005-0000-0000-000067070000}"/>
    <cellStyle name="Title 2 12" xfId="1896" xr:uid="{00000000-0005-0000-0000-000068070000}"/>
    <cellStyle name="Title 2 13" xfId="1897" xr:uid="{00000000-0005-0000-0000-000069070000}"/>
    <cellStyle name="Title 2 14" xfId="1898" xr:uid="{00000000-0005-0000-0000-00006A070000}"/>
    <cellStyle name="Title 2 15" xfId="1899" xr:uid="{00000000-0005-0000-0000-00006B070000}"/>
    <cellStyle name="Title 2 16" xfId="1900" xr:uid="{00000000-0005-0000-0000-00006C070000}"/>
    <cellStyle name="Title 2 17" xfId="1901" xr:uid="{00000000-0005-0000-0000-00006D070000}"/>
    <cellStyle name="Title 2 18" xfId="1902" xr:uid="{00000000-0005-0000-0000-00006E070000}"/>
    <cellStyle name="Title 2 19" xfId="1903" xr:uid="{00000000-0005-0000-0000-00006F070000}"/>
    <cellStyle name="Title 2 2" xfId="1904" xr:uid="{00000000-0005-0000-0000-000070070000}"/>
    <cellStyle name="Title 2 20" xfId="1905" xr:uid="{00000000-0005-0000-0000-000071070000}"/>
    <cellStyle name="Title 2 21" xfId="1906" xr:uid="{00000000-0005-0000-0000-000072070000}"/>
    <cellStyle name="Title 2 22" xfId="1907" xr:uid="{00000000-0005-0000-0000-000073070000}"/>
    <cellStyle name="Title 2 23" xfId="1908" xr:uid="{00000000-0005-0000-0000-000074070000}"/>
    <cellStyle name="Title 2 24" xfId="1909" xr:uid="{00000000-0005-0000-0000-000075070000}"/>
    <cellStyle name="Title 2 25" xfId="1910" xr:uid="{00000000-0005-0000-0000-000076070000}"/>
    <cellStyle name="Title 2 26" xfId="1911" xr:uid="{00000000-0005-0000-0000-000077070000}"/>
    <cellStyle name="Title 2 27" xfId="1912" xr:uid="{00000000-0005-0000-0000-000078070000}"/>
    <cellStyle name="Title 2 28" xfId="1913" xr:uid="{00000000-0005-0000-0000-000079070000}"/>
    <cellStyle name="Title 2 29" xfId="1914" xr:uid="{00000000-0005-0000-0000-00007A070000}"/>
    <cellStyle name="Title 2 3" xfId="1915" xr:uid="{00000000-0005-0000-0000-00007B070000}"/>
    <cellStyle name="Title 2 30" xfId="1916" xr:uid="{00000000-0005-0000-0000-00007C070000}"/>
    <cellStyle name="Title 2 31" xfId="1917" xr:uid="{00000000-0005-0000-0000-00007D070000}"/>
    <cellStyle name="Title 2 32" xfId="1918" xr:uid="{00000000-0005-0000-0000-00007E070000}"/>
    <cellStyle name="Title 2 33" xfId="1919" xr:uid="{00000000-0005-0000-0000-00007F070000}"/>
    <cellStyle name="Title 2 34" xfId="1920" xr:uid="{00000000-0005-0000-0000-000080070000}"/>
    <cellStyle name="Title 2 35" xfId="1921" xr:uid="{00000000-0005-0000-0000-000081070000}"/>
    <cellStyle name="Title 2 36" xfId="1922" xr:uid="{00000000-0005-0000-0000-000082070000}"/>
    <cellStyle name="Title 2 37" xfId="1923" xr:uid="{00000000-0005-0000-0000-000083070000}"/>
    <cellStyle name="Title 2 38" xfId="1924" xr:uid="{00000000-0005-0000-0000-000084070000}"/>
    <cellStyle name="Title 2 39" xfId="1925" xr:uid="{00000000-0005-0000-0000-000085070000}"/>
    <cellStyle name="Title 2 4" xfId="1926" xr:uid="{00000000-0005-0000-0000-000086070000}"/>
    <cellStyle name="Title 2 40" xfId="1927" xr:uid="{00000000-0005-0000-0000-000087070000}"/>
    <cellStyle name="Title 2 41" xfId="1928" xr:uid="{00000000-0005-0000-0000-000088070000}"/>
    <cellStyle name="Title 2 42" xfId="1929" xr:uid="{00000000-0005-0000-0000-000089070000}"/>
    <cellStyle name="Title 2 43" xfId="1930" xr:uid="{00000000-0005-0000-0000-00008A070000}"/>
    <cellStyle name="Title 2 44" xfId="1931" xr:uid="{00000000-0005-0000-0000-00008B070000}"/>
    <cellStyle name="Title 2 45" xfId="1932" xr:uid="{00000000-0005-0000-0000-00008C070000}"/>
    <cellStyle name="Title 2 46" xfId="1933" xr:uid="{00000000-0005-0000-0000-00008D070000}"/>
    <cellStyle name="Title 2 47" xfId="1934" xr:uid="{00000000-0005-0000-0000-00008E070000}"/>
    <cellStyle name="Title 2 48" xfId="1935" xr:uid="{00000000-0005-0000-0000-00008F070000}"/>
    <cellStyle name="Title 2 49" xfId="1936" xr:uid="{00000000-0005-0000-0000-000090070000}"/>
    <cellStyle name="Title 2 49 2" xfId="1937" xr:uid="{00000000-0005-0000-0000-000091070000}"/>
    <cellStyle name="Title 2 5" xfId="1938" xr:uid="{00000000-0005-0000-0000-000092070000}"/>
    <cellStyle name="Title 2 50" xfId="1939" xr:uid="{00000000-0005-0000-0000-000093070000}"/>
    <cellStyle name="Title 2 50 2" xfId="1940" xr:uid="{00000000-0005-0000-0000-000094070000}"/>
    <cellStyle name="Title 2 6" xfId="1941" xr:uid="{00000000-0005-0000-0000-000095070000}"/>
    <cellStyle name="Title 2 7" xfId="1942" xr:uid="{00000000-0005-0000-0000-000096070000}"/>
    <cellStyle name="Title 2 8" xfId="1943" xr:uid="{00000000-0005-0000-0000-000097070000}"/>
    <cellStyle name="Title 2 9" xfId="1944" xr:uid="{00000000-0005-0000-0000-000098070000}"/>
    <cellStyle name="Total 2" xfId="1945" xr:uid="{00000000-0005-0000-0000-000099070000}"/>
    <cellStyle name="Total 2 10" xfId="1946" xr:uid="{00000000-0005-0000-0000-00009A070000}"/>
    <cellStyle name="Total 2 11" xfId="1947" xr:uid="{00000000-0005-0000-0000-00009B070000}"/>
    <cellStyle name="Total 2 12" xfId="1948" xr:uid="{00000000-0005-0000-0000-00009C070000}"/>
    <cellStyle name="Total 2 13" xfId="1949" xr:uid="{00000000-0005-0000-0000-00009D070000}"/>
    <cellStyle name="Total 2 14" xfId="1950" xr:uid="{00000000-0005-0000-0000-00009E070000}"/>
    <cellStyle name="Total 2 15" xfId="1951" xr:uid="{00000000-0005-0000-0000-00009F070000}"/>
    <cellStyle name="Total 2 16" xfId="1952" xr:uid="{00000000-0005-0000-0000-0000A0070000}"/>
    <cellStyle name="Total 2 17" xfId="1953" xr:uid="{00000000-0005-0000-0000-0000A1070000}"/>
    <cellStyle name="Total 2 18" xfId="1954" xr:uid="{00000000-0005-0000-0000-0000A2070000}"/>
    <cellStyle name="Total 2 19" xfId="1955" xr:uid="{00000000-0005-0000-0000-0000A3070000}"/>
    <cellStyle name="Total 2 2" xfId="1956" xr:uid="{00000000-0005-0000-0000-0000A4070000}"/>
    <cellStyle name="Total 2 20" xfId="1957" xr:uid="{00000000-0005-0000-0000-0000A5070000}"/>
    <cellStyle name="Total 2 21" xfId="1958" xr:uid="{00000000-0005-0000-0000-0000A6070000}"/>
    <cellStyle name="Total 2 22" xfId="1959" xr:uid="{00000000-0005-0000-0000-0000A7070000}"/>
    <cellStyle name="Total 2 23" xfId="1960" xr:uid="{00000000-0005-0000-0000-0000A8070000}"/>
    <cellStyle name="Total 2 24" xfId="1961" xr:uid="{00000000-0005-0000-0000-0000A9070000}"/>
    <cellStyle name="Total 2 25" xfId="1962" xr:uid="{00000000-0005-0000-0000-0000AA070000}"/>
    <cellStyle name="Total 2 26" xfId="1963" xr:uid="{00000000-0005-0000-0000-0000AB070000}"/>
    <cellStyle name="Total 2 27" xfId="1964" xr:uid="{00000000-0005-0000-0000-0000AC070000}"/>
    <cellStyle name="Total 2 28" xfId="1965" xr:uid="{00000000-0005-0000-0000-0000AD070000}"/>
    <cellStyle name="Total 2 29" xfId="1966" xr:uid="{00000000-0005-0000-0000-0000AE070000}"/>
    <cellStyle name="Total 2 3" xfId="1967" xr:uid="{00000000-0005-0000-0000-0000AF070000}"/>
    <cellStyle name="Total 2 30" xfId="1968" xr:uid="{00000000-0005-0000-0000-0000B0070000}"/>
    <cellStyle name="Total 2 31" xfId="1969" xr:uid="{00000000-0005-0000-0000-0000B1070000}"/>
    <cellStyle name="Total 2 32" xfId="1970" xr:uid="{00000000-0005-0000-0000-0000B2070000}"/>
    <cellStyle name="Total 2 33" xfId="1971" xr:uid="{00000000-0005-0000-0000-0000B3070000}"/>
    <cellStyle name="Total 2 34" xfId="1972" xr:uid="{00000000-0005-0000-0000-0000B4070000}"/>
    <cellStyle name="Total 2 35" xfId="1973" xr:uid="{00000000-0005-0000-0000-0000B5070000}"/>
    <cellStyle name="Total 2 36" xfId="1974" xr:uid="{00000000-0005-0000-0000-0000B6070000}"/>
    <cellStyle name="Total 2 37" xfId="1975" xr:uid="{00000000-0005-0000-0000-0000B7070000}"/>
    <cellStyle name="Total 2 38" xfId="1976" xr:uid="{00000000-0005-0000-0000-0000B8070000}"/>
    <cellStyle name="Total 2 39" xfId="1977" xr:uid="{00000000-0005-0000-0000-0000B9070000}"/>
    <cellStyle name="Total 2 4" xfId="1978" xr:uid="{00000000-0005-0000-0000-0000BA070000}"/>
    <cellStyle name="Total 2 40" xfId="1979" xr:uid="{00000000-0005-0000-0000-0000BB070000}"/>
    <cellStyle name="Total 2 41" xfId="1980" xr:uid="{00000000-0005-0000-0000-0000BC070000}"/>
    <cellStyle name="Total 2 42" xfId="1981" xr:uid="{00000000-0005-0000-0000-0000BD070000}"/>
    <cellStyle name="Total 2 43" xfId="1982" xr:uid="{00000000-0005-0000-0000-0000BE070000}"/>
    <cellStyle name="Total 2 44" xfId="1983" xr:uid="{00000000-0005-0000-0000-0000BF070000}"/>
    <cellStyle name="Total 2 45" xfId="1984" xr:uid="{00000000-0005-0000-0000-0000C0070000}"/>
    <cellStyle name="Total 2 46" xfId="1985" xr:uid="{00000000-0005-0000-0000-0000C1070000}"/>
    <cellStyle name="Total 2 47" xfId="1986" xr:uid="{00000000-0005-0000-0000-0000C2070000}"/>
    <cellStyle name="Total 2 48" xfId="1987" xr:uid="{00000000-0005-0000-0000-0000C3070000}"/>
    <cellStyle name="Total 2 49" xfId="1988" xr:uid="{00000000-0005-0000-0000-0000C4070000}"/>
    <cellStyle name="Total 2 5" xfId="1989" xr:uid="{00000000-0005-0000-0000-0000C5070000}"/>
    <cellStyle name="Total 2 6" xfId="1990" xr:uid="{00000000-0005-0000-0000-0000C6070000}"/>
    <cellStyle name="Total 2 7" xfId="1991" xr:uid="{00000000-0005-0000-0000-0000C7070000}"/>
    <cellStyle name="Total 2 8" xfId="1992" xr:uid="{00000000-0005-0000-0000-0000C8070000}"/>
    <cellStyle name="Total 2 9" xfId="1993" xr:uid="{00000000-0005-0000-0000-0000C9070000}"/>
    <cellStyle name="Warning Text" xfId="1994" builtinId="11" customBuiltin="1"/>
  </cellStyles>
  <dxfs count="23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protection locked="1"/>
    </dxf>
    <dxf>
      <protection locked="1"/>
    </dxf>
    <dxf>
      <protection locked="1"/>
    </dxf>
    <dxf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/>
    </dxf>
    <dxf>
      <border outline="0">
        <top style="thin">
          <color indexed="64"/>
        </top>
      </border>
    </dxf>
    <dxf>
      <protection locked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/>
    </dxf>
    <dxf>
      <border outline="0">
        <top style="thin">
          <color indexed="64"/>
        </top>
      </border>
    </dxf>
    <dxf>
      <protection locked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protection locked="1"/>
    </dxf>
    <dxf>
      <protection locked="1"/>
    </dxf>
    <dxf>
      <alignment horizontal="center" vertical="bottom" textRotation="0" wrapText="0" indent="0" justifyLastLine="0" shrinkToFit="0" readingOrder="0"/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protection locked="1"/>
    </dxf>
    <dxf>
      <alignment horizontal="center" vertical="bottom" textRotation="0" wrapText="0" indent="0" justifyLastLine="0" shrinkToFit="0" readingOrder="0"/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protection locked="1"/>
    </dxf>
    <dxf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protection locked="1"/>
    </dxf>
    <dxf>
      <alignment horizontal="center" vertical="bottom" textRotation="0" wrapText="0" indent="0" justifyLastLine="0" shrinkToFit="0" readingOrder="0"/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protection locked="1"/>
    </dxf>
    <dxf>
      <alignment horizontal="center" vertical="bottom" textRotation="0" wrapText="0" indent="0" justifyLastLine="0" shrinkToFit="0" readingOrder="0"/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protection locked="1"/>
    </dxf>
    <dxf>
      <alignment horizontal="center" vertical="bottom" textRotation="0" wrapText="0" indent="0" justifyLastLine="0" shrinkToFit="0" readingOrder="0"/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protection locked="1"/>
    </dxf>
    <dxf>
      <alignment horizontal="center" vertical="bottom" textRotation="0" wrapText="0" indent="0" justifyLastLine="0" shrinkToFit="0" readingOrder="0"/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protection locked="1"/>
    </dxf>
    <dxf>
      <alignment horizontal="center" vertical="bottom" textRotation="0" wrapText="0" indent="0" justifyLastLine="0" shrinkToFit="0" readingOrder="0"/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protection locked="1"/>
    </dxf>
    <dxf>
      <alignment horizontal="center" vertical="bottom" textRotation="0" wrapText="0" indent="0" justifyLastLine="0" shrinkToFit="0" readingOrder="0"/>
      <protection locked="1"/>
    </dxf>
    <dxf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alignment horizontal="center" vertical="bottom" textRotation="0" wrapText="0" indent="0" justifyLastLine="0" shrinkToFit="0" readingOrder="0"/>
      <protection locked="1"/>
    </dxf>
    <dxf>
      <protection locked="1"/>
    </dxf>
    <dxf>
      <alignment horizontal="center" vertical="bottom" textRotation="0" wrapText="0" indent="0" justifyLastLine="0" shrinkToFit="0" readingOrder="0"/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protection locked="1"/>
    </dxf>
    <dxf>
      <protection locked="1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protection locked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9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ill>
        <patternFill patternType="none">
          <bgColor auto="1"/>
        </patternFill>
      </fill>
    </dxf>
    <dxf>
      <fill>
        <patternFill>
          <bgColor rgb="FFEBF1DE"/>
        </patternFill>
      </fill>
    </dxf>
    <dxf>
      <font>
        <color theme="0"/>
      </font>
      <fill>
        <patternFill>
          <bgColor rgb="FF1E631D"/>
        </patternFill>
      </fill>
    </dxf>
  </dxfs>
  <tableStyles count="1" defaultTableStyle="TableStyleMedium9" defaultPivotStyle="PivotStyleLight16">
    <tableStyle name="Table Style 1" pivot="0" count="3" xr9:uid="{1527A00E-0FE7-488C-BF9D-4ADD8E449896}">
      <tableStyleElement type="headerRow" dxfId="237"/>
      <tableStyleElement type="firstRowStripe" dxfId="236"/>
      <tableStyleElement type="secondRowStripe" dxfId="235"/>
    </tableStyle>
  </tableStyles>
  <colors>
    <mruColors>
      <color rgb="FFEBF1DE"/>
      <color rgb="FFD8E4BC"/>
      <color rgb="FFC2EDC1"/>
      <color rgb="FF1E631D"/>
      <color rgb="FF1F64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954973</xdr:colOff>
      <xdr:row>0</xdr:row>
      <xdr:rowOff>76240</xdr:rowOff>
    </xdr:from>
    <xdr:to>
      <xdr:col>2</xdr:col>
      <xdr:colOff>2828924</xdr:colOff>
      <xdr:row>2</xdr:row>
      <xdr:rowOff>419100</xdr:rowOff>
    </xdr:to>
    <xdr:pic>
      <xdr:nvPicPr>
        <xdr:cNvPr id="3" name="Picture 2" descr="British Society of Plant Breeders logo.">
          <a:extLst>
            <a:ext uri="{FF2B5EF4-FFF2-40B4-BE49-F238E27FC236}">
              <a16:creationId xmlns:a16="http://schemas.microsoft.com/office/drawing/2014/main" id="{1FCD2AA6-EB3C-762C-79AF-D77EAFF30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698" y="76240"/>
          <a:ext cx="1873951" cy="961985"/>
        </a:xfrm>
        <a:prstGeom prst="rect">
          <a:avLst/>
        </a:prstGeom>
      </xdr:spPr>
    </xdr:pic>
    <xdr:clientData/>
  </xdr:twoCellAnchor>
  <xdr:twoCellAnchor editAs="oneCell">
    <xdr:from>
      <xdr:col>1</xdr:col>
      <xdr:colOff>2409826</xdr:colOff>
      <xdr:row>0</xdr:row>
      <xdr:rowOff>57526</xdr:rowOff>
    </xdr:from>
    <xdr:to>
      <xdr:col>2</xdr:col>
      <xdr:colOff>695325</xdr:colOff>
      <xdr:row>2</xdr:row>
      <xdr:rowOff>409692</xdr:rowOff>
    </xdr:to>
    <xdr:pic>
      <xdr:nvPicPr>
        <xdr:cNvPr id="5" name="Picture 4" descr="British Grassland Society logo.">
          <a:extLst>
            <a:ext uri="{FF2B5EF4-FFF2-40B4-BE49-F238E27FC236}">
              <a16:creationId xmlns:a16="http://schemas.microsoft.com/office/drawing/2014/main" id="{A0DF3518-C1D7-976C-57D1-294EBE518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51" y="57526"/>
          <a:ext cx="952499" cy="971291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0</xdr:row>
      <xdr:rowOff>177887</xdr:rowOff>
    </xdr:from>
    <xdr:to>
      <xdr:col>1</xdr:col>
      <xdr:colOff>2186178</xdr:colOff>
      <xdr:row>2</xdr:row>
      <xdr:rowOff>361950</xdr:rowOff>
    </xdr:to>
    <xdr:pic>
      <xdr:nvPicPr>
        <xdr:cNvPr id="7" name="Picture 6" descr="National Institute of Agricultural Botany logo.">
          <a:extLst>
            <a:ext uri="{FF2B5EF4-FFF2-40B4-BE49-F238E27FC236}">
              <a16:creationId xmlns:a16="http://schemas.microsoft.com/office/drawing/2014/main" id="{F374A5B1-58C5-DA3E-8E01-97A759DA6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5" y="177887"/>
          <a:ext cx="1843278" cy="803188"/>
        </a:xfrm>
        <a:prstGeom prst="rect">
          <a:avLst/>
        </a:prstGeom>
      </xdr:spPr>
    </xdr:pic>
    <xdr:clientData/>
  </xdr:twoCellAnchor>
  <xdr:twoCellAnchor editAs="oneCell">
    <xdr:from>
      <xdr:col>2</xdr:col>
      <xdr:colOff>3061771</xdr:colOff>
      <xdr:row>0</xdr:row>
      <xdr:rowOff>323850</xdr:rowOff>
    </xdr:from>
    <xdr:to>
      <xdr:col>3</xdr:col>
      <xdr:colOff>381000</xdr:colOff>
      <xdr:row>2</xdr:row>
      <xdr:rowOff>378547</xdr:rowOff>
    </xdr:to>
    <xdr:pic>
      <xdr:nvPicPr>
        <xdr:cNvPr id="9" name="Picture 8" descr="Agricultural and Horticultural Development Board logo.">
          <a:extLst>
            <a:ext uri="{FF2B5EF4-FFF2-40B4-BE49-F238E27FC236}">
              <a16:creationId xmlns:a16="http://schemas.microsoft.com/office/drawing/2014/main" id="{E89D1B73-A4B3-A672-D202-CBF76264D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9496" y="323850"/>
          <a:ext cx="1557854" cy="673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sdmt\RLDLwork\herbage\tim_c\timcy1.xlsx" TargetMode="External"/><Relationship Id="rId1" Type="http://schemas.openxmlformats.org/officeDocument/2006/relationships/externalLinkPath" Target="file:///Y:\sdmt\RLDLwork\herbage\tim_c\timcy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dmt\RLDLwork\2009\herbage\irg_hrg\irgy2d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1P1"/>
      <sheetName val="M1P2"/>
      <sheetName val="M2P1"/>
      <sheetName val="M2P2"/>
      <sheetName val="M3P1"/>
      <sheetName val="M3P2"/>
      <sheetName val="M4P1"/>
      <sheetName val="M4P2"/>
      <sheetName val="M5P1"/>
      <sheetName val="M5P2"/>
      <sheetName val="M6P1"/>
      <sheetName val="M6P2"/>
      <sheetName val="M7P1"/>
      <sheetName val="M7P2"/>
      <sheetName val="M8P1"/>
      <sheetName val="M8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1P1"/>
      <sheetName val="M1P2"/>
      <sheetName val="M1P3"/>
      <sheetName val="M1P4"/>
      <sheetName val="M1P5"/>
      <sheetName val="M2P1"/>
      <sheetName val="M2P2"/>
      <sheetName val="M2P3"/>
      <sheetName val="M2P4"/>
      <sheetName val="M2P5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F89554-01A0-4DD1-8BD0-5D37914A94AA}" name="EPRGDIP" displayName="EPRGDIP" ref="A3:F50" totalsRowShown="0" headerRowDxfId="226" dataDxfId="224" headerRowBorderDxfId="225" tableBorderDxfId="223" totalsRowBorderDxfId="222">
  <autoFilter ref="A3:F50" xr:uid="{70F89554-01A0-4DD1-8BD0-5D37914A94AA}"/>
  <tableColumns count="6">
    <tableColumn id="1" xr3:uid="{3FA3AF5C-5C71-4D17-9158-4DBE7304DD8E}" name="Early perennial ryegrass diploid varieties" dataDxfId="221"/>
    <tableColumn id="2" xr3:uid="{9B962D75-78A3-4570-BC7D-27AFC26CF8DD}" name="Mean of G varieties" dataDxfId="220"/>
    <tableColumn id="3" xr3:uid="{16249781-1974-462D-BD92-2B2F3B5EAE8C}" name="Early diploid mean (G's only)" dataDxfId="219"/>
    <tableColumn id="4" xr3:uid="{6F7D403B-CFBD-4A3E-9F13-82E313E4200E}" name="Genesis" dataDxfId="218"/>
    <tableColumn id="5" xr3:uid="{8E52E054-6F57-48EB-A895-7633A327B7DF}" name="Moyola" dataDxfId="217"/>
    <tableColumn id="6" xr3:uid="{7104500D-47A2-41E5-945D-3729EAB5BC65}" name="Glasker" dataDxfId="216"/>
  </tableColumns>
  <tableStyleInfo name="Table Style 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2F649A8-70C3-4734-A445-CCDC42EF7842}" name="HRGTET" displayName="HRGTET" ref="A3:R43" totalsRowShown="0" headerRowDxfId="68" dataDxfId="67">
  <autoFilter ref="A3:R43" xr:uid="{92F649A8-70C3-4734-A445-CCDC42EF7842}"/>
  <tableColumns count="18">
    <tableColumn id="1" xr3:uid="{FA96A388-FA72-4349-BAB0-53F6CDA795E8}" name="Hybrid ryegrass tetraploid varieties " dataDxfId="66"/>
    <tableColumn id="2" xr3:uid="{08AE71A5-7955-40FF-8D42-B8A3F6D53745}" name="Mean of G varieties" dataDxfId="65"/>
    <tableColumn id="3" xr3:uid="{83E0BB09-8AA8-4BFE-AB3A-066D4E1A8172}" name="Tetraploid mean (Gs only)" dataDxfId="64"/>
    <tableColumn id="4" xr3:uid="{A15D6918-7D87-4036-B922-4E0C0AA35EA5}" name="Kubicek                                 (Festulolium)" dataDxfId="63"/>
    <tableColumn id="5" xr3:uid="{3312E55B-D93D-4FD2-9FE2-0AB9F53B3ED4}" name="AberEcho" dataDxfId="62"/>
    <tableColumn id="6" xr3:uid="{F318AC57-6278-4714-838A-17A23B994839}" name="Aston Crusader" dataDxfId="61"/>
    <tableColumn id="7" xr3:uid="{28F259DB-55BD-4751-B8FD-DFF1475CEDDE}" name="Enduro" dataDxfId="60"/>
    <tableColumn id="8" xr3:uid="{054CFDA2-7F2B-4604-AB9A-2133CCC4E377}" name="Utopial" dataDxfId="59"/>
    <tableColumn id="9" xr3:uid="{B97B5C56-BE0E-456B-A235-AA17516E145E}" name="Loucama" dataDxfId="58"/>
    <tableColumn id="10" xr3:uid="{B33DE6F6-515F-4F85-BCB6-B7C7E1D5D78C}" name="Tetragraze            " dataDxfId="57"/>
    <tableColumn id="11" xr3:uid="{B3240777-DFD5-45A4-AD3E-BFBB1A6664E6}" name="Bannfoot      " dataDxfId="56"/>
    <tableColumn id="12" xr3:uid="{0FEF97A9-38C7-48C5-A528-D40422512BFD}" name="Perkins" dataDxfId="55"/>
    <tableColumn id="13" xr3:uid="{2CFF9FE9-1647-4013-AF10-5878E9DB8D74}" name="AberOpal" dataDxfId="54"/>
    <tableColumn id="14" xr3:uid="{69D82A15-1BBE-4AE8-8949-CAC3BCC91912}" name="Kirial" dataDxfId="53"/>
    <tableColumn id="15" xr3:uid="{99BCADBC-0DBC-4415-968A-04355592E4A7}" name="RGT Cordial" dataDxfId="52"/>
    <tableColumn id="16" xr3:uid="{B83A6B98-7301-4DEB-8F2B-B3DD25866829}" name="AberNiche (Festulolium)" dataDxfId="51"/>
    <tableColumn id="17" xr3:uid="{47944EB5-2BC9-4637-BE9D-4BB32BD8C055}" name="Perseus (Festulolium)" dataDxfId="50"/>
    <tableColumn id="18" xr3:uid="{9DD3BBD7-81D1-4363-913A-F0DF0749FE02}" name="AberImage" dataDxfId="49"/>
  </tableColumns>
  <tableStyleInfo name="Table Style 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3DC53BD-737E-41AA-B6E8-8DFF063ECB07}" name="TIM" displayName="TIM" ref="A3:I44" totalsRowShown="0" headerRowDxfId="48" dataDxfId="47">
  <autoFilter ref="A3:I44" xr:uid="{D3DC53BD-737E-41AA-B6E8-8DFF063ECB07}"/>
  <tableColumns count="9">
    <tableColumn id="1" xr3:uid="{26995297-394C-4348-8E03-0AE1A62DDE65}" name="Timothy varieties" dataDxfId="46"/>
    <tableColumn id="2" xr3:uid="{EA498920-41B0-4CD7-ACF7-F313A679CFB6}" name="Mean of G varieties" dataDxfId="45"/>
    <tableColumn id="3" xr3:uid="{B98B767F-15D0-4305-ACFC-861703005EFF}" name="Presto " dataDxfId="44"/>
    <tableColumn id="4" xr3:uid="{DBF5446C-697F-4672-905A-492DF810CB52}" name="Promesse" dataDxfId="43"/>
    <tableColumn id="5" xr3:uid="{12B5FB2C-6B0F-47E1-AD24-A6CC876B1848}" name="Comer" dataDxfId="42"/>
    <tableColumn id="6" xr3:uid="{68C10EFD-8FD8-4124-BF6C-40C11FB0DC2E}" name="Dolina" dataDxfId="41"/>
    <tableColumn id="7" xr3:uid="{FD236F9F-B18B-4294-BA5E-9D67E4E45D66}" name="Comtal" dataDxfId="40"/>
    <tableColumn id="8" xr3:uid="{7E0B399D-6035-4335-8BCA-7A2EB16C02A5}" name="Winnetou" dataDxfId="39"/>
    <tableColumn id="9" xr3:uid="{0830E511-82B2-4CC9-9AEB-C1D6A3718F83}" name="Baronaise" dataDxfId="38"/>
  </tableColumns>
  <tableStyleInfo name="Table Style 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D856728-81EC-4C9E-B1FF-39DE5182E4E9}" name="WC" displayName="WC" ref="A3:T40" totalsRowShown="0" headerRowDxfId="37">
  <autoFilter ref="A3:T40" xr:uid="{4D856728-81EC-4C9E-B1FF-39DE5182E4E9}"/>
  <tableColumns count="20">
    <tableColumn id="1" xr3:uid="{EC4A87A2-6435-41F1-B66B-DA8CAA430502}" name="White clover varieties "/>
    <tableColumn id="2" xr3:uid="{4BA77DCF-E6AF-4D5D-9A90-A2426AB0157F}" name="AberAce"/>
    <tableColumn id="3" xr3:uid="{5782DCFC-B369-4E74-85A7-501D29228FE2}" name="Aberystwyth S.184 "/>
    <tableColumn id="4" xr3:uid="{B822020B-12D5-4089-BB0A-1D4C3ACC1515}" name="Quartz"/>
    <tableColumn id="5" xr3:uid="{1AF80568-2D13-448B-BC75-CECD18ACF82E}" name="Coolfin"/>
    <tableColumn id="6" xr3:uid="{26376B3B-91FA-4767-92C9-C215E140CC25}" name="AberHerald"/>
    <tableColumn id="7" xr3:uid="{B9B46C5D-082C-4EA5-94A0-520EC7F7EB56}" name="Iona"/>
    <tableColumn id="8" xr3:uid="{D4CD2964-B4A4-45D2-B5DB-6EB4A5080BF8}" name="Dublin"/>
    <tableColumn id="9" xr3:uid="{90406B2E-88E4-4DC0-894E-72A7CB6079A8}" name="AberSwan" dataDxfId="36"/>
    <tableColumn id="10" xr3:uid="{B855D3F3-1E07-4F96-811F-8E573C490B49}" name="Dungloe"/>
    <tableColumn id="11" xr3:uid="{780DB9C7-DAB5-4B1B-8FCF-0E5148CEE6AB}" name="AberSirius"/>
    <tableColumn id="12" xr3:uid="{7B731600-02D6-4DAB-A659-0972E5FBBDEA}" name="Ruru"/>
    <tableColumn id="13" xr3:uid="{F2582D9B-C4C0-463A-8ADD-9BA7E60CAFC0}" name="Violin"/>
    <tableColumn id="14" xr3:uid="{40C13699-8E82-4F8D-8BB0-DFD822D8F5E9}" name="Barblanca"/>
    <tableColumn id="15" xr3:uid="{ECA66823-54C2-4597-B5B5-8CBA52A3640D}" name="Emma"/>
    <tableColumn id="16" xr3:uid="{61F48098-0420-4F7B-9C1B-E8EFEC58AD30}" name="Clodagh"/>
    <tableColumn id="17" xr3:uid="{F63C4D68-BAF7-457D-8135-D66804D8A217}" name="Legacy"/>
    <tableColumn id="18" xr3:uid="{F3AB8AE9-AEF0-4BCE-B63E-EE38BE77C3DE}" name="Kakariki"/>
    <tableColumn id="19" xr3:uid="{EA963CAA-82E4-42BB-9875-9E871994F6F8}" name="Aran"/>
    <tableColumn id="20" xr3:uid="{72DDF2A6-4852-410A-B8C1-F8468F81F8BC}" name="Brianna" dataDxfId="35"/>
  </tableColumns>
  <tableStyleInfo name="Table Style 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B856A93-45F8-4A77-B41F-11A5F07F94F6}" name="RCDIP" displayName="RCDIP" ref="A3:J35" totalsRowShown="0" headerRowDxfId="34" dataDxfId="32" headerRowBorderDxfId="33" tableBorderDxfId="31">
  <autoFilter ref="A3:J35" xr:uid="{6B856A93-45F8-4A77-B41F-11A5F07F94F6}"/>
  <tableColumns count="10">
    <tableColumn id="1" xr3:uid="{36DE563E-DC0D-4238-84BC-2E9D3367C062}" name="Red clover diploid varieties" dataDxfId="30"/>
    <tableColumn id="2" xr3:uid="{6B071EEB-BA4A-4F80-B52D-D0608533E515}" name="Mean of G varieties" dataDxfId="29"/>
    <tableColumn id="3" xr3:uid="{6EC428FE-C98D-4266-9B39-89CED7484943}" name="AberClaret" dataDxfId="28"/>
    <tableColumn id="4" xr3:uid="{2DF12E39-9B0A-43B1-A1B8-C2B66287B23F}" name="Harmonie" dataDxfId="27"/>
    <tableColumn id="5" xr3:uid="{15ADB5BE-149C-47AA-B4F3-38B39546DEB9}" name="Sinope      " dataDxfId="26"/>
    <tableColumn id="6" xr3:uid="{C46BB712-86C6-415D-A74C-49CDE0713E2D}" name="Fearga" dataDxfId="25"/>
    <tableColumn id="7" xr3:uid="{5E42663D-CD5B-4E2B-A384-3CABDBE3FD64}" name="Ganymed" dataDxfId="24"/>
    <tableColumn id="8" xr3:uid="{DD25E403-7899-4E1C-83B9-77DC3E536637}" name="Taigete" dataDxfId="23"/>
    <tableColumn id="9" xr3:uid="{281D92EB-85C8-4821-BD3B-91FAD19AAB9C}" name="RGT Javva" dataDxfId="22"/>
    <tableColumn id="10" xr3:uid="{D07367E3-0FB3-4E29-8FDE-09C34E71007C}" name="Kallichore" dataDxfId="21"/>
  </tableColumns>
  <tableStyleInfo name="Table Style 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8B246AA-3282-4848-9002-19DE8DB87A80}" name="RCTET" displayName="RCTET" ref="A3:E35" totalsRowShown="0" headerRowDxfId="20" dataDxfId="18" headerRowBorderDxfId="19" tableBorderDxfId="17">
  <autoFilter ref="A3:E35" xr:uid="{08B246AA-3282-4848-9002-19DE8DB87A80}"/>
  <tableColumns count="5">
    <tableColumn id="1" xr3:uid="{86E1D506-81BC-4E93-B6AB-B743F5A27F52}" name="Red clover tetraploid varieties" dataDxfId="16"/>
    <tableColumn id="2" xr3:uid="{19D5DC35-42AF-4439-9605-A55B61FA7299}" name="Mean of G varieties" dataDxfId="15"/>
    <tableColumn id="3" xr3:uid="{DB9EF318-D24A-403B-99DA-C99F2B287352}" name="Amos" dataDxfId="14"/>
    <tableColumn id="4" xr3:uid="{D2AA7493-19D0-4604-AFF6-058A27F96BBE}" name="Atlantis          " dataDxfId="13"/>
    <tableColumn id="5" xr3:uid="{286DE5C7-D4C6-4A74-B2EA-8A4D7382B239}" name="Magellan" dataDxfId="12"/>
  </tableColumns>
  <tableStyleInfo name="Table Style 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9693EC7-4F2C-4F7E-99C7-6636BA22820B}" name="LU" displayName="LU" ref="A3:G21" totalsRowShown="0" headerRowDxfId="11">
  <autoFilter ref="A3:G21" xr:uid="{C9693EC7-4F2C-4F7E-99C7-6636BA22820B}"/>
  <tableColumns count="7">
    <tableColumn id="1" xr3:uid="{0FE41995-7004-43DD-8DAB-3769B8D9D23D}" name="Descriptive list of lucerne varieties " dataDxfId="10" dataCellStyle="Normal 10"/>
    <tableColumn id="2" xr3:uid="{4535B64A-AEE5-44AE-B9ED-C2F8CB7C0F03}" name="Mean of DL varieties" dataDxfId="9" dataCellStyle="Normal 10"/>
    <tableColumn id="3" xr3:uid="{968AD3BF-D3C6-4918-8F73-347BA687F1E6}" name="Cigale"/>
    <tableColumn id="4" xr3:uid="{2F834B48-1051-4719-A64C-ECCCD8A0CEC4}" name="Andantino"/>
    <tableColumn id="5" xr3:uid="{15E47B7D-93F3-4B05-8733-DA53A8065374}" name="Barallix"/>
    <tableColumn id="6" xr3:uid="{EE7DAE52-CE79-4432-84A6-3B59904E1214}" name="Luxury"/>
    <tableColumn id="7" xr3:uid="{45C0C055-DBF9-4225-9677-3E90C1CAED53}" name="Mezzo"/>
  </tableColumns>
  <tableStyleInfo name="Table Style 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8354488-6035-4F78-A898-CAA3D3CF2E1E}" name="CFT" displayName="CFT" ref="A3:E37" totalsRowShown="0" headerRowDxfId="234" dataDxfId="232" headerRowBorderDxfId="233" tableBorderDxfId="231" dataCellStyle="Normal 10">
  <autoFilter ref="A3:E37" xr:uid="{18354488-6035-4F78-A898-CAA3D3CF2E1E}"/>
  <tableColumns count="5">
    <tableColumn id="1" xr3:uid="{C8CD3D17-3A56-43FC-A711-D31240CE8A02}" name="Descriptive list of cocksfoot varieties"/>
    <tableColumn id="2" xr3:uid="{33EBD988-76B5-42BA-B116-97FDFEFD7093}" name="Mean of DL varieties" dataDxfId="230" dataCellStyle="Normal 10"/>
    <tableColumn id="3" xr3:uid="{9010AE2C-2B91-4585-92CC-F751A48B24D4}" name="Sparta" dataDxfId="229" dataCellStyle="Normal 10"/>
    <tableColumn id="4" xr3:uid="{7DD515E5-D45A-41F8-990E-5E58B13BEA35}" name="Lidacta" dataDxfId="228" dataCellStyle="Normal 10"/>
    <tableColumn id="5" xr3:uid="{AC83CA6F-BB26-492F-BDF9-52974A9787CD}" name="RGT Lovely" dataDxfId="227" dataCellStyle="Normal 10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D4F490-EE48-424C-B2F1-9780AB870CA9}" name="EPRGTET" displayName="EPRGTET" ref="A3:F50" totalsRowShown="0" headerRowDxfId="215" dataDxfId="213" headerRowBorderDxfId="214" tableBorderDxfId="212">
  <autoFilter ref="A3:F50" xr:uid="{FBD4F490-EE48-424C-B2F1-9780AB870CA9}"/>
  <tableColumns count="6">
    <tableColumn id="1" xr3:uid="{CC936DDE-7703-42D7-9BBD-B47D50F03AA0}" name="Early perennial ryegrass tetraploid varieties" dataDxfId="211"/>
    <tableColumn id="2" xr3:uid="{770FFFCB-D8D9-4309-BEA1-08C58B3DF75A}" name="Mean of G varieties" dataDxfId="210"/>
    <tableColumn id="3" xr3:uid="{F544745F-131C-42D1-BCBA-95DB88C93404}" name="Early tetraploid mean (G's only)" dataDxfId="209"/>
    <tableColumn id="4" xr3:uid="{AE6DA53B-EDC8-434F-A8DB-7F90877CA428}" name="AberTorch" dataDxfId="208"/>
    <tableColumn id="5" xr3:uid="{0B5AA797-04DF-4CD5-A2B3-56FDDA2774D4}" name="Cooky" dataDxfId="207"/>
    <tableColumn id="6" xr3:uid="{1FA17035-1DB1-4562-B4CF-969A0AB17184}" name="Barwave" dataDxfId="206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D764F2A-525A-4BC2-B129-0EB55AA56B26}" name="IPRGDIP" displayName="IPRGDIP" ref="A3:S49" totalsRowShown="0" headerRowDxfId="205" dataDxfId="204">
  <autoFilter ref="A3:S49" xr:uid="{BD764F2A-525A-4BC2-B129-0EB55AA56B26}"/>
  <tableColumns count="19">
    <tableColumn id="1" xr3:uid="{B8756560-04E6-437E-B598-08793D418345}" name="Intermediate perennial ryegrass diploid varieties " dataDxfId="203"/>
    <tableColumn id="2" xr3:uid="{D3E1222A-A915-4E82-B314-7538EEF8EE71}" name="Mean of G varieties" dataDxfId="202"/>
    <tableColumn id="3" xr3:uid="{8E0769EB-597D-4E23-965D-8AEB60F55AE7}" name="Int. diploid mean (G's only)" dataDxfId="201"/>
    <tableColumn id="4" xr3:uid="{02FF0620-A623-46CA-89BC-0901DD11FCEE}" name="Laurelvale" dataDxfId="200"/>
    <tableColumn id="5" xr3:uid="{49F63E14-B1BD-48A9-8A93-F595E8914526}" name="Galgorm" dataDxfId="199"/>
    <tableColumn id="6" xr3:uid="{46A0F364-15A5-42B3-8698-E9FD4D1C24D2}" name="Bartui" dataDxfId="198"/>
    <tableColumn id="7" xr3:uid="{E6C51784-95A0-40B7-A31A-843CE2D5CD49}" name="Nifty" dataDxfId="197"/>
    <tableColumn id="9" xr3:uid="{32B8FE10-E6D4-45A3-B24E-748FD0C40C9A}" name="Moira" dataDxfId="196"/>
    <tableColumn id="10" xr3:uid="{3B291E12-37FC-4CB9-A899-76CC3543CFAD}" name="Goldwell" dataDxfId="195"/>
    <tableColumn id="11" xr3:uid="{27D4ADE8-1D40-457E-BC5D-DC1A3A3B3C8A}" name="AberZeus" dataDxfId="194"/>
    <tableColumn id="12" xr3:uid="{6B57E581-DEAC-44C1-B5DC-9AE8CF53C96D}" name="Portadown" dataDxfId="193"/>
    <tableColumn id="13" xr3:uid="{ECB7E84E-101B-42A0-A7A4-DD412FBEC4C0}" name="AberMagic " dataDxfId="192"/>
    <tableColumn id="14" xr3:uid="{15FBB788-A81C-4BE5-9593-94C9A016B587}" name="AberWolf" dataDxfId="191"/>
    <tableColumn id="15" xr3:uid="{53E27E2F-2677-4037-B2A1-67CDFC4D399E}" name="Gosford" dataDxfId="190"/>
    <tableColumn id="16" xr3:uid="{38CCD8B9-417C-4519-9A28-52D42E0C893E}" name="Alecto" dataDxfId="189"/>
    <tableColumn id="17" xr3:uid="{9B51966F-8AA2-48B6-9116-945A93313411}" name="Agaska" dataDxfId="188"/>
    <tableColumn id="18" xr3:uid="{AE0ED458-948B-4742-B930-358A83F3CB58}" name="AberGreen" dataDxfId="187"/>
    <tableColumn id="19" xr3:uid="{2DAC221B-44F6-4ECA-AA92-CE528412FF7C}" name="Farmington" dataDxfId="186"/>
    <tableColumn id="20" xr3:uid="{A999C2D2-7169-403B-9919-836616177FD7}" name="AberTweed" dataDxfId="185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68EF068-7C89-47FA-99F9-3DF5C8344854}" name="IPRGTET" displayName="IPRGTET" ref="A3:S48" totalsRowShown="0" headerRowDxfId="184" dataDxfId="183">
  <autoFilter ref="A3:S48" xr:uid="{C68EF068-7C89-47FA-99F9-3DF5C8344854}"/>
  <tableColumns count="19">
    <tableColumn id="1" xr3:uid="{5244833B-1FF1-410F-BB87-2DAE0E3D17A7}" name="Intermediate perennial ryegrass tetraploid varieties" dataDxfId="182"/>
    <tableColumn id="2" xr3:uid="{DD79BEAC-E074-41D0-972B-FAED5C4A6348}" name="Mean of G varieties" dataDxfId="181"/>
    <tableColumn id="3" xr3:uid="{6144AE44-1607-40DE-AF6C-D85E5330EC2A}" name="Int. tetraploid mean (G and S)" dataDxfId="180"/>
    <tableColumn id="4" xr3:uid="{5541E067-8C2B-4CBD-9761-8E0632369E3D}" name="Fintona" dataDxfId="179"/>
    <tableColumn id="5" xr3:uid="{FFCBB82D-BD3F-47D2-A04F-3DF3C08772BB}" name="Seagoe" dataDxfId="178"/>
    <tableColumn id="6" xr3:uid="{F20B7BA2-598D-4F62-AB79-350E7F163861}" name="Tollymore" dataDxfId="177"/>
    <tableColumn id="7" xr3:uid="{2E133317-AA37-4D2C-872C-3AAC26CA1A1D}" name="Banbridge" dataDxfId="176"/>
    <tableColumn id="8" xr3:uid="{9F9B69B5-3A61-4406-B487-FE1DF76D5AA6}" name="Nolwen" dataDxfId="175"/>
    <tableColumn id="9" xr3:uid="{8321DB7C-AEE1-4214-8486-5E1E5BA6CC1E}" name="Ballygowan" dataDxfId="174"/>
    <tableColumn id="10" xr3:uid="{AD373F1C-F3B8-4BB2-B0CA-B0C3E9667C91}" name="AberRoot (Festulolium)" dataDxfId="173"/>
    <tableColumn id="11" xr3:uid="{72F196DB-BE83-444E-920F-8054BA749D37}" name="Castlewellan" dataDxfId="172"/>
    <tableColumn id="12" xr3:uid="{B655610A-24D7-4DBF-9918-01136CAE0A56}" name="Ritchie" dataDxfId="171"/>
    <tableColumn id="13" xr3:uid="{514F2FB3-E173-44E3-A93B-ED8EDB09AFDE}" name="Glenville" dataDxfId="170"/>
    <tableColumn id="14" xr3:uid="{573FDA78-06C8-42A2-AA9D-E84F2CD89D2B}" name="Chatsworth" dataDxfId="169"/>
    <tableColumn id="15" xr3:uid="{4096F454-A5B4-4B47-9FAB-C0CDDA7B0FFA}" name="Futural" dataDxfId="168"/>
    <tableColumn id="17" xr3:uid="{28D03C11-FD7F-4B77-803E-39435CA1AE1B}" name="AberSpey" dataDxfId="167"/>
    <tableColumn id="18" xr3:uid="{061D316E-DAB0-462A-B056-FC6CA2F2F510}" name="Convey" dataDxfId="166"/>
    <tableColumn id="19" xr3:uid="{6A45C15A-04C6-4848-80D5-165A337AF0D1}" name="Dunluce" dataDxfId="165"/>
    <tableColumn id="20" xr3:uid="{20DCF509-979A-4908-905E-3C3E46DAFC2D}" name="AstonEnergy" dataDxfId="164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BFDC1E-87D3-4F87-9853-41F8B47A5BF9}" name="LPRGDIP" displayName="LPRGDIP" ref="A3:AJ49" totalsRowShown="0" headerRowDxfId="163" dataDxfId="162">
  <autoFilter ref="A3:AJ49" xr:uid="{73BFDC1E-87D3-4F87-9853-41F8B47A5BF9}"/>
  <tableColumns count="36">
    <tableColumn id="1" xr3:uid="{CF311B4A-F6E5-4F8A-965B-E1826B863F09}" name="Late perennial ryegrass diploid varieties" dataDxfId="161"/>
    <tableColumn id="2" xr3:uid="{1171FE8B-5C85-4CD5-9DE1-E109094EDF71}" name="Mean of G varieties" dataDxfId="160"/>
    <tableColumn id="3" xr3:uid="{D8BF1F17-352D-457C-848E-B55A7B123E9E}" name="Late diploid mean (Gs only)" dataDxfId="159"/>
    <tableColumn id="4" xr3:uid="{DB145D3E-AB90-4AD2-8886-7D8A453F66C0}" name="Wetherby" dataDxfId="158"/>
    <tableColumn id="5" xr3:uid="{7264DC52-8217-4A46-875D-25208D1B0DDC}" name="AberSevern" dataDxfId="157"/>
    <tableColumn id="6" xr3:uid="{ADD17A2D-094B-47CD-929E-1F28126D7351}" name="Callan" dataDxfId="156"/>
    <tableColumn id="7" xr3:uid="{D6EFC0BE-48FE-4ED6-9CD8-4BDFE0ED2AD1}" name="AberEsk" dataDxfId="155"/>
    <tableColumn id="8" xr3:uid="{68D5C3B7-7FC1-4987-9024-55ACF8BED1A0}" name="Silago" dataDxfId="154"/>
    <tableColumn id="9" xr3:uid="{7DFF91FF-CFBC-4EC7-914E-4682851A2A02}" name="Harrenhal" dataDxfId="153"/>
    <tableColumn id="10" xr3:uid="{FB2FCE3C-40A7-40C4-A593-7F34ABDD5232}" name="Toddington" dataDxfId="152"/>
    <tableColumn id="11" xr3:uid="{E2FF7327-4D50-4B83-90D8-AFEB779A2CB3}" name="AberTest" dataDxfId="151"/>
    <tableColumn id="12" xr3:uid="{B75BDED5-FE3F-49BB-B166-D7BF0ED57E0C}" name="Graphic" dataDxfId="150"/>
    <tableColumn id="13" xr3:uid="{464BFD4E-A36D-43FC-8FF6-CF9015A1E83F}" name="Dundrod" dataDxfId="149"/>
    <tableColumn id="14" xr3:uid="{8B0CE32D-239C-4885-B6AF-5D516C652D8C}" name="Scartorp" dataDxfId="148"/>
    <tableColumn id="15" xr3:uid="{811EB2A0-B10A-4D4D-9D14-776BFE583A42}" name="Bandon" dataDxfId="147"/>
    <tableColumn id="16" xr3:uid="{D99FB0CC-6C47-4B0B-859A-57E9CB2E21F9}" name="Angorat" dataDxfId="146"/>
    <tableColumn id="17" xr3:uid="{42A8E33E-6E3C-467C-B9B5-445C28B8F419}" name="Ballyvoy" dataDxfId="145"/>
    <tableColumn id="18" xr3:uid="{4E968562-27FC-4C17-B20B-A9D697749E75}" name="Bomium" dataDxfId="144"/>
    <tableColumn id="19" xr3:uid="{1E319E8A-39F1-4A21-80B9-88E6C2146575}" name="AberAvon" dataDxfId="143"/>
    <tableColumn id="20" xr3:uid="{30BD07BE-F007-4D24-8C1E-C9DE17B35E94}" name="Oakpark" dataDxfId="142"/>
    <tableColumn id="21" xr3:uid="{D60D2118-EBFA-42BF-8C67-4F8429090C2B}" name="Crossgar" dataDxfId="141"/>
    <tableColumn id="22" xr3:uid="{BD458197-6CD2-44C3-AE02-D134934BA7D0}" name="Frogmore" dataDxfId="140"/>
    <tableColumn id="23" xr3:uid="{BC91373E-7A32-4BF9-B717-101C89C18053}" name="Drumbo" dataDxfId="139"/>
    <tableColumn id="24" xr3:uid="{46DC7CAE-E4D2-4D47-BDB4-3AE323A5EAD8}" name="Glenarm" dataDxfId="138"/>
    <tableColumn id="25" xr3:uid="{CE4069CE-503A-4220-BB8B-2F6A1F1AB63D}" name="Fermoy" dataDxfId="137"/>
    <tableColumn id="26" xr3:uid="{7019FF5E-89EF-4FC2-9C94-53C548428EDD}" name="Zorgue" dataDxfId="136"/>
    <tableColumn id="27" xr3:uid="{C79D043B-248B-4B7A-AB62-19C948EA9595}" name="AberBann" dataDxfId="135"/>
    <tableColumn id="28" xr3:uid="{2D9BC3FA-184D-4CD6-B83A-3A318DE4A95A}" name="Timuco" dataDxfId="134"/>
    <tableColumn id="29" xr3:uid="{39B032C9-1BD8-4E71-B870-729DA03FEB67}" name="Charlfield" dataDxfId="133"/>
    <tableColumn id="30" xr3:uid="{E4C6E5B7-0107-4E3F-9332-4FD170679C0C}" name="AberThames" dataDxfId="132"/>
    <tableColumn id="31" xr3:uid="{E799DFEA-2CF9-4DD7-9579-4855044D114E}" name="Swan" dataDxfId="131"/>
    <tableColumn id="32" xr3:uid="{AF917113-DF25-4EF8-A6D1-71B25E6DA5E3}" name="AberLee" dataDxfId="130"/>
    <tableColumn id="33" xr3:uid="{9C0355A2-C768-4E98-A50F-9F244186E88C}" name="Delika" dataDxfId="129"/>
    <tableColumn id="34" xr3:uid="{C3F009AF-B837-42E1-B2F3-1E05F27D3C6D}" name="AberLiffey" dataDxfId="128"/>
    <tableColumn id="35" xr3:uid="{E4DBA7EF-D333-4F5B-8E9C-C0D2BA5AA0AD}" name="AberChoice" dataDxfId="127"/>
    <tableColumn id="36" xr3:uid="{442BD944-C21A-4BD8-93B0-FA1C09CC9044}" name="AberDon" dataDxfId="126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973326E-11FF-4238-A153-C990FC5B46C4}" name="LPRGTET" displayName="LPRGTET" ref="A3:M49" totalsRowShown="0" headerRowDxfId="125" dataDxfId="124">
  <autoFilter ref="A3:M49" xr:uid="{4973326E-11FF-4238-A153-C990FC5B46C4}"/>
  <tableColumns count="13">
    <tableColumn id="1" xr3:uid="{B3A50CDF-F3C4-4808-8C8F-D508D3E591BD}" name="Late perennial ryegrass tetraploid varieties" dataDxfId="123"/>
    <tableColumn id="2" xr3:uid="{0E4CD3DF-B55F-4A7B-B3CD-061FF89B774A}" name="Mean of  G  varieties" dataDxfId="122"/>
    <tableColumn id="3" xr3:uid="{0EE42C29-672F-408E-998B-68739EFA27D9}" name="Late tetraploid mean (G and S)" dataDxfId="121"/>
    <tableColumn id="4" xr3:uid="{4FEE11AA-9616-4523-B675-507646E9DF69}" name="Ballintoy" dataDxfId="120"/>
    <tableColumn id="5" xr3:uid="{F39937FB-92E3-496A-A5BC-DB9FEBB09C44}" name="AberForth" dataDxfId="119"/>
    <tableColumn id="6" xr3:uid="{7809B7E2-9AA0-4A4A-B4D3-ABE455F8AE97}" name="Richhill" dataDxfId="118"/>
    <tableColumn id="7" xr3:uid="{9F6D8141-C50E-4DAE-8C85-37828E8729BC}" name="Ardress" dataDxfId="117"/>
    <tableColumn id="8" xr3:uid="{3035E41A-FC9C-49CF-9C10-6DD1197F7F91}" name="Meiduno" dataDxfId="116"/>
    <tableColumn id="9" xr3:uid="{838AF224-97B8-4FF0-8860-AEA3A70A9DEA}" name="Gracehill" dataDxfId="115"/>
    <tableColumn id="10" xr3:uid="{CD026F24-8EAA-4421-A6AF-09FEEB1958CD}" name="AberGain" dataDxfId="114"/>
    <tableColumn id="11" xr3:uid="{BA652061-1802-4845-BF14-DA28B7C59EB8}" name="Nashota" dataDxfId="113"/>
    <tableColumn id="12" xr3:uid="{CA18E662-6B0E-4256-8CBC-7F873856333A}" name="AstonEmpire" dataDxfId="112"/>
    <tableColumn id="13" xr3:uid="{BEF77FBC-FB3A-4602-A780-00704BAF58C1}" name="AstonGlory" dataDxfId="111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AD3E40C-F1E8-4494-9F71-50C1BAE63F9C}" name="IRGDIP" displayName="IRGDIP" ref="A3:O40" totalsRowShown="0" headerRowDxfId="110" dataDxfId="109">
  <autoFilter ref="A3:O40" xr:uid="{6AD3E40C-F1E8-4494-9F71-50C1BAE63F9C}"/>
  <tableColumns count="15">
    <tableColumn id="1" xr3:uid="{0C8E413B-FB90-4C69-9039-3E131F5611CE}" name="Italian ryegrass diploid varieties" dataDxfId="108"/>
    <tableColumn id="2" xr3:uid="{3F234866-550B-4E21-8CBE-B76C03510222}" name="Mean of G varieties" dataDxfId="107"/>
    <tableColumn id="3" xr3:uid="{DD927DBF-0064-4D7B-9C34-96EA9C9319CB}" name="Diploid mean (Gs only)" dataDxfId="106"/>
    <tableColumn id="4" xr3:uid="{E027CCB6-2FB2-44D9-A8A6-91CF7BDB5F2A}" name="Crocodyl" dataDxfId="105"/>
    <tableColumn id="5" xr3:uid="{9117897A-3FBB-41A9-9BCF-40974B2DFD9D}" name="Shakira" dataDxfId="104"/>
    <tableColumn id="6" xr3:uid="{CA9B9221-4BE3-497A-A009-B7F85F427236}" name="Bigdyl" dataDxfId="103"/>
    <tableColumn id="7" xr3:uid="{B124672D-ABF6-41A5-AA0C-565500051B62}" name="Fox" dataDxfId="102"/>
    <tableColumn id="8" xr3:uid="{FEE2FD16-0D02-4816-A489-02523EFD5C4A}" name="Giacomo" dataDxfId="101"/>
    <tableColumn id="9" xr3:uid="{AF27B66C-CCE1-4E04-844D-B711283FDE0D}" name="Alamo" dataDxfId="100"/>
    <tableColumn id="10" xr3:uid="{F5CA0002-BD5C-4A18-A73D-115596F2B2E2}" name="Pinaco" dataDxfId="99"/>
    <tableColumn id="11" xr3:uid="{D15858B2-2172-4F36-AC0C-251A4FFC3FFE}" name="Jaccar" dataDxfId="98"/>
    <tableColumn id="12" xr3:uid="{EFE09DE9-FCA3-46F0-8C5B-E87837425424}" name="Sendero" dataDxfId="97"/>
    <tableColumn id="13" xr3:uid="{0E839587-B1E7-4E22-95A1-D82EB48895F3}" name="Abys" dataDxfId="96"/>
    <tableColumn id="15" xr3:uid="{05B07EC5-BBD0-4554-AF8C-68B27183EC55}" name="Ascari" dataDxfId="95"/>
    <tableColumn id="16" xr3:uid="{9FDFAE9A-AB34-429E-8DC4-C9261DEDAF9A}" name="Exotyl" dataDxfId="94"/>
  </tableColumns>
  <tableStyleInfo name="Table Style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CBEF593-A80C-4896-BA9F-6E97A19CF04A}" name="IRGTET" displayName="IRGTET" ref="A3:M40" totalsRowShown="0" headerRowDxfId="93" dataDxfId="92">
  <autoFilter ref="A3:M40" xr:uid="{0CBEF593-A80C-4896-BA9F-6E97A19CF04A}"/>
  <tableColumns count="13">
    <tableColumn id="1" xr3:uid="{4034D02B-D9E8-4AF9-8D49-9E443EC55EC9}" name="Italian ryegrass tetraploid varieties" dataDxfId="91"/>
    <tableColumn id="2" xr3:uid="{C55B876A-202E-4040-999D-A9382FFD06D0}" name="Mean of G varieties" dataDxfId="90"/>
    <tableColumn id="3" xr3:uid="{7F13E53A-A5F5-458A-ACC2-56BEBE47E4C3}" name="Tetraploid mean (Gs only)" dataDxfId="89"/>
    <tableColumn id="4" xr3:uid="{8769412F-F9D9-48B3-BCE8-DD840EC63EEC}" name="Rotor" dataDxfId="88"/>
    <tableColumn id="5" xr3:uid="{27802360-53D6-4A1E-A941-31017BD2586D}" name="Kigezi 1" dataDxfId="87"/>
    <tableColumn id="6" xr3:uid="{A4763D93-15EE-4991-ACC9-7D71C61D2C5E}" name="Emotion" dataDxfId="86"/>
    <tableColumn id="7" xr3:uid="{D53D7AC3-2FA9-4843-9B4F-697B07DFF854}" name="Melsprinter" dataDxfId="85"/>
    <tableColumn id="8" xr3:uid="{F7C65859-0A2B-4F69-A12B-E36888857E19}" name="Hunter" dataDxfId="84"/>
    <tableColumn id="9" xr3:uid="{9861806D-9231-46DD-86C0-97B1A3B09EEA}" name="Melsitra" dataDxfId="83"/>
    <tableColumn id="10" xr3:uid="{256B7822-93E6-4B41-8F57-88C8F0FC19FD}" name="Arman" dataDxfId="82"/>
    <tableColumn id="11" xr3:uid="{2339A1E8-132F-483C-9494-B8E4EABE3439}" name="Messina" dataDxfId="81"/>
    <tableColumn id="12" xr3:uid="{A054864B-2D18-4D1A-B9F9-ADB280FD8C39}" name="Barmultra II" dataDxfId="80"/>
    <tableColumn id="13" xr3:uid="{47AA0790-F8E6-40E6-B758-271D7F246259}" name="Barimax" dataDxfId="79"/>
  </tableColumns>
  <tableStyleInfo name="Table Style 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CA442F0-E336-43B0-B798-A1105A27571C}" name="HRGDIP" displayName="HRGDIP" ref="A3:H43" totalsRowShown="0" headerRowDxfId="78" dataDxfId="77">
  <autoFilter ref="A3:H43" xr:uid="{0CA442F0-E336-43B0-B798-A1105A27571C}"/>
  <tableColumns count="8">
    <tableColumn id="1" xr3:uid="{08D6664B-D3DB-428A-929E-A4BA3E533B34}" name="Hybrid ryegrass diploid varieties " dataDxfId="76"/>
    <tableColumn id="2" xr3:uid="{112E5B0B-F6C2-4789-B829-A77176ABFF97}" name="Mean of G varieties" dataDxfId="75"/>
    <tableColumn id="3" xr3:uid="{FC149576-5700-4E09-AC0A-4A59E7534E49}" name="Diploid Mean              (= Barsilo)" dataDxfId="74"/>
    <tableColumn id="4" xr3:uid="{4DBAFE13-8511-4F53-80C7-8BB4975015C7}" name="Diploid mean (G and S)" dataDxfId="73"/>
    <tableColumn id="5" xr3:uid="{0CFF29BD-3F79-453E-A3C8-F035FE7B7340}" name="Barlaunch" dataDxfId="72"/>
    <tableColumn id="6" xr3:uid="{4BA91103-D435-4578-B452-99E87D55675B}" name="Pirol" dataDxfId="71"/>
    <tableColumn id="7" xr3:uid="{4220581C-E7E9-4EDD-A10F-B49703FE4E45}" name="Barsilo" dataDxfId="70"/>
    <tableColumn id="8" xr3:uid="{8B8958CD-6728-4421-8F96-6042720CFDC4}" name="Barclamp" dataDxfId="69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AEE82-95FD-4C1D-9F4F-04C148D0C534}">
  <dimension ref="A1:C97"/>
  <sheetViews>
    <sheetView workbookViewId="0">
      <selection activeCell="C19" sqref="C19"/>
    </sheetView>
  </sheetViews>
  <sheetFormatPr defaultRowHeight="12.5" x14ac:dyDescent="0.25"/>
  <cols>
    <col min="1" max="1" width="29.81640625" customWidth="1"/>
    <col min="2" max="2" width="40" customWidth="1"/>
    <col min="3" max="3" width="63.54296875" customWidth="1"/>
  </cols>
  <sheetData>
    <row r="1" spans="1:3" ht="36" x14ac:dyDescent="0.4">
      <c r="A1" s="101" t="s">
        <v>0</v>
      </c>
      <c r="B1" s="102"/>
      <c r="C1" s="102"/>
    </row>
    <row r="2" spans="1:3" x14ac:dyDescent="0.25">
      <c r="A2" s="102"/>
      <c r="B2" s="102"/>
      <c r="C2" s="102"/>
    </row>
    <row r="3" spans="1:3" ht="37.5" x14ac:dyDescent="0.25">
      <c r="A3" s="107" t="s">
        <v>1</v>
      </c>
      <c r="B3" s="102"/>
      <c r="C3" s="102"/>
    </row>
    <row r="4" spans="1:3" x14ac:dyDescent="0.25">
      <c r="A4" s="102"/>
      <c r="B4" s="102"/>
      <c r="C4" s="102"/>
    </row>
    <row r="5" spans="1:3" ht="14" x14ac:dyDescent="0.25">
      <c r="A5" s="104" t="s">
        <v>2</v>
      </c>
      <c r="B5" s="104" t="s">
        <v>3</v>
      </c>
      <c r="C5" s="104" t="s">
        <v>4</v>
      </c>
    </row>
    <row r="6" spans="1:3" x14ac:dyDescent="0.25">
      <c r="A6" s="102"/>
      <c r="B6" s="102"/>
      <c r="C6" s="102"/>
    </row>
    <row r="7" spans="1:3" ht="13" x14ac:dyDescent="0.3">
      <c r="A7" s="103" t="s">
        <v>5</v>
      </c>
      <c r="B7" s="102"/>
      <c r="C7" s="102"/>
    </row>
    <row r="8" spans="1:3" x14ac:dyDescent="0.25">
      <c r="A8" s="102" t="s">
        <v>6</v>
      </c>
      <c r="B8" s="102" t="s">
        <v>7</v>
      </c>
      <c r="C8" s="102" t="s">
        <v>8</v>
      </c>
    </row>
    <row r="9" spans="1:3" x14ac:dyDescent="0.25">
      <c r="A9" s="102" t="s">
        <v>9</v>
      </c>
      <c r="B9" s="102" t="s">
        <v>10</v>
      </c>
      <c r="C9" s="102" t="s">
        <v>11</v>
      </c>
    </row>
    <row r="10" spans="1:3" x14ac:dyDescent="0.25">
      <c r="A10" s="102" t="s">
        <v>12</v>
      </c>
      <c r="B10" s="102" t="s">
        <v>13</v>
      </c>
      <c r="C10" s="107" t="s">
        <v>14</v>
      </c>
    </row>
    <row r="11" spans="1:3" x14ac:dyDescent="0.25">
      <c r="A11" s="102" t="s">
        <v>15</v>
      </c>
      <c r="B11" s="102" t="s">
        <v>16</v>
      </c>
      <c r="C11" s="107" t="s">
        <v>17</v>
      </c>
    </row>
    <row r="12" spans="1:3" x14ac:dyDescent="0.25">
      <c r="A12" s="102" t="s">
        <v>18</v>
      </c>
      <c r="B12" s="102" t="s">
        <v>19</v>
      </c>
      <c r="C12" s="102" t="s">
        <v>20</v>
      </c>
    </row>
    <row r="13" spans="1:3" x14ac:dyDescent="0.25">
      <c r="A13" s="102" t="s">
        <v>21</v>
      </c>
      <c r="B13" s="102" t="s">
        <v>22</v>
      </c>
      <c r="C13" s="102" t="s">
        <v>23</v>
      </c>
    </row>
    <row r="14" spans="1:3" x14ac:dyDescent="0.25">
      <c r="A14" s="102"/>
      <c r="B14" s="102"/>
      <c r="C14" s="102"/>
    </row>
    <row r="15" spans="1:3" ht="13" x14ac:dyDescent="0.3">
      <c r="A15" s="103" t="s">
        <v>24</v>
      </c>
      <c r="B15" s="102"/>
      <c r="C15" s="102"/>
    </row>
    <row r="16" spans="1:3" x14ac:dyDescent="0.25">
      <c r="A16" s="102" t="s">
        <v>25</v>
      </c>
      <c r="B16" s="102" t="s">
        <v>26</v>
      </c>
      <c r="C16" s="102" t="s">
        <v>27</v>
      </c>
    </row>
    <row r="17" spans="1:3" x14ac:dyDescent="0.25">
      <c r="A17" s="102" t="s">
        <v>28</v>
      </c>
      <c r="B17" s="102" t="s">
        <v>29</v>
      </c>
      <c r="C17" s="102" t="s">
        <v>30</v>
      </c>
    </row>
    <row r="18" spans="1:3" x14ac:dyDescent="0.25">
      <c r="A18" s="102" t="s">
        <v>31</v>
      </c>
      <c r="B18" s="102" t="s">
        <v>32</v>
      </c>
      <c r="C18" s="102" t="s">
        <v>33</v>
      </c>
    </row>
    <row r="19" spans="1:3" x14ac:dyDescent="0.25">
      <c r="A19" s="102" t="s">
        <v>34</v>
      </c>
      <c r="B19" s="102" t="s">
        <v>35</v>
      </c>
      <c r="C19" s="102" t="s">
        <v>36</v>
      </c>
    </row>
    <row r="20" spans="1:3" x14ac:dyDescent="0.25">
      <c r="A20" s="102" t="s">
        <v>37</v>
      </c>
      <c r="B20" s="102" t="s">
        <v>38</v>
      </c>
      <c r="C20" s="102" t="s">
        <v>39</v>
      </c>
    </row>
    <row r="21" spans="1:3" x14ac:dyDescent="0.25">
      <c r="A21" s="102"/>
      <c r="B21" s="102"/>
      <c r="C21" s="102"/>
    </row>
    <row r="22" spans="1:3" ht="13" x14ac:dyDescent="0.3">
      <c r="A22" s="103" t="s">
        <v>40</v>
      </c>
      <c r="B22" s="102"/>
      <c r="C22" s="102"/>
    </row>
    <row r="23" spans="1:3" x14ac:dyDescent="0.25">
      <c r="A23" s="102" t="s">
        <v>41</v>
      </c>
      <c r="B23" s="102" t="s">
        <v>42</v>
      </c>
      <c r="C23" s="102" t="s">
        <v>43</v>
      </c>
    </row>
    <row r="24" spans="1:3" x14ac:dyDescent="0.25">
      <c r="A24" s="102" t="s">
        <v>44</v>
      </c>
      <c r="B24" s="102" t="s">
        <v>45</v>
      </c>
      <c r="C24" s="102" t="s">
        <v>46</v>
      </c>
    </row>
    <row r="25" spans="1:3" x14ac:dyDescent="0.25">
      <c r="A25" s="102" t="s">
        <v>47</v>
      </c>
      <c r="B25" s="102" t="s">
        <v>48</v>
      </c>
      <c r="C25" s="102" t="s">
        <v>49</v>
      </c>
    </row>
    <row r="26" spans="1:3" x14ac:dyDescent="0.25">
      <c r="A26" s="102"/>
      <c r="B26" s="102"/>
      <c r="C26" s="102"/>
    </row>
    <row r="27" spans="1:3" ht="13" x14ac:dyDescent="0.3">
      <c r="A27" s="103" t="s">
        <v>50</v>
      </c>
      <c r="B27" s="102"/>
      <c r="C27" s="102"/>
    </row>
    <row r="28" spans="1:3" x14ac:dyDescent="0.25">
      <c r="A28" s="102" t="s">
        <v>51</v>
      </c>
      <c r="B28" s="102" t="s">
        <v>52</v>
      </c>
      <c r="C28" s="102" t="s">
        <v>53</v>
      </c>
    </row>
    <row r="29" spans="1:3" x14ac:dyDescent="0.25">
      <c r="A29" s="102" t="s">
        <v>54</v>
      </c>
      <c r="B29" s="102" t="s">
        <v>55</v>
      </c>
      <c r="C29" s="102" t="s">
        <v>56</v>
      </c>
    </row>
    <row r="30" spans="1:3" x14ac:dyDescent="0.25">
      <c r="A30" s="102" t="s">
        <v>57</v>
      </c>
      <c r="B30" s="102" t="s">
        <v>58</v>
      </c>
      <c r="C30" s="102" t="s">
        <v>59</v>
      </c>
    </row>
    <row r="31" spans="1:3" x14ac:dyDescent="0.25">
      <c r="A31" s="102" t="s">
        <v>60</v>
      </c>
      <c r="B31" s="102" t="s">
        <v>61</v>
      </c>
      <c r="C31" s="107" t="s">
        <v>62</v>
      </c>
    </row>
    <row r="32" spans="1:3" x14ac:dyDescent="0.25">
      <c r="A32" s="102" t="s">
        <v>63</v>
      </c>
      <c r="B32" s="102" t="s">
        <v>64</v>
      </c>
      <c r="C32" s="102" t="s">
        <v>65</v>
      </c>
    </row>
    <row r="33" spans="1:3" x14ac:dyDescent="0.25">
      <c r="A33" s="102" t="s">
        <v>66</v>
      </c>
      <c r="B33" s="102" t="s">
        <v>67</v>
      </c>
      <c r="C33" s="102" t="s">
        <v>68</v>
      </c>
    </row>
    <row r="34" spans="1:3" x14ac:dyDescent="0.25">
      <c r="A34" s="102"/>
      <c r="B34" s="102"/>
      <c r="C34" s="102"/>
    </row>
    <row r="35" spans="1:3" ht="13" x14ac:dyDescent="0.3">
      <c r="A35" s="103" t="s">
        <v>69</v>
      </c>
      <c r="B35" s="102"/>
      <c r="C35" s="102"/>
    </row>
    <row r="36" spans="1:3" x14ac:dyDescent="0.25">
      <c r="A36" s="102" t="s">
        <v>70</v>
      </c>
      <c r="B36" s="102" t="s">
        <v>71</v>
      </c>
      <c r="C36" s="107" t="s">
        <v>72</v>
      </c>
    </row>
    <row r="37" spans="1:3" x14ac:dyDescent="0.25">
      <c r="A37" s="102" t="s">
        <v>73</v>
      </c>
      <c r="B37" s="102" t="s">
        <v>74</v>
      </c>
      <c r="C37" s="107" t="s">
        <v>75</v>
      </c>
    </row>
    <row r="38" spans="1:3" x14ac:dyDescent="0.25">
      <c r="A38" s="102"/>
      <c r="B38" s="102"/>
      <c r="C38" s="102"/>
    </row>
    <row r="39" spans="1:3" ht="13" x14ac:dyDescent="0.3">
      <c r="A39" s="103" t="s">
        <v>76</v>
      </c>
      <c r="B39" s="102"/>
      <c r="C39" s="102"/>
    </row>
    <row r="40" spans="1:3" x14ac:dyDescent="0.25">
      <c r="A40" s="102" t="s">
        <v>77</v>
      </c>
      <c r="B40" s="102" t="s">
        <v>78</v>
      </c>
      <c r="C40" s="102" t="s">
        <v>79</v>
      </c>
    </row>
    <row r="41" spans="1:3" x14ac:dyDescent="0.25">
      <c r="A41" s="102" t="s">
        <v>80</v>
      </c>
      <c r="B41" s="102" t="s">
        <v>81</v>
      </c>
      <c r="C41" s="102" t="s">
        <v>82</v>
      </c>
    </row>
    <row r="42" spans="1:3" x14ac:dyDescent="0.25">
      <c r="A42" s="102" t="s">
        <v>83</v>
      </c>
      <c r="B42" s="102" t="s">
        <v>84</v>
      </c>
      <c r="C42" s="102" t="s">
        <v>85</v>
      </c>
    </row>
    <row r="43" spans="1:3" x14ac:dyDescent="0.25">
      <c r="A43" s="102" t="s">
        <v>86</v>
      </c>
      <c r="B43" s="102" t="s">
        <v>87</v>
      </c>
      <c r="C43" s="102" t="s">
        <v>88</v>
      </c>
    </row>
    <row r="44" spans="1:3" x14ac:dyDescent="0.25">
      <c r="A44" s="102" t="s">
        <v>89</v>
      </c>
      <c r="B44" s="102" t="s">
        <v>90</v>
      </c>
      <c r="C44" s="102" t="s">
        <v>91</v>
      </c>
    </row>
    <row r="45" spans="1:3" x14ac:dyDescent="0.25">
      <c r="A45" s="102" t="s">
        <v>92</v>
      </c>
      <c r="B45" s="102" t="s">
        <v>93</v>
      </c>
      <c r="C45" s="102" t="s">
        <v>94</v>
      </c>
    </row>
    <row r="46" spans="1:3" x14ac:dyDescent="0.25">
      <c r="A46" s="102" t="s">
        <v>95</v>
      </c>
      <c r="B46" s="102" t="s">
        <v>96</v>
      </c>
      <c r="C46" s="102" t="s">
        <v>97</v>
      </c>
    </row>
    <row r="47" spans="1:3" x14ac:dyDescent="0.25">
      <c r="A47" s="102" t="s">
        <v>98</v>
      </c>
      <c r="B47" s="102" t="s">
        <v>99</v>
      </c>
      <c r="C47" s="102" t="s">
        <v>100</v>
      </c>
    </row>
    <row r="48" spans="1:3" x14ac:dyDescent="0.25">
      <c r="A48" s="102" t="s">
        <v>101</v>
      </c>
      <c r="B48" s="102" t="s">
        <v>102</v>
      </c>
      <c r="C48" s="102" t="s">
        <v>103</v>
      </c>
    </row>
    <row r="49" spans="1:3" x14ac:dyDescent="0.25">
      <c r="A49" s="102"/>
      <c r="B49" s="102"/>
      <c r="C49" s="102"/>
    </row>
    <row r="50" spans="1:3" ht="26" x14ac:dyDescent="0.3">
      <c r="A50" s="103" t="s">
        <v>104</v>
      </c>
      <c r="B50" s="102"/>
      <c r="C50" s="102"/>
    </row>
    <row r="51" spans="1:3" x14ac:dyDescent="0.25">
      <c r="A51" s="102" t="s">
        <v>105</v>
      </c>
      <c r="B51" s="102" t="s">
        <v>106</v>
      </c>
      <c r="C51" s="102" t="s">
        <v>107</v>
      </c>
    </row>
    <row r="52" spans="1:3" x14ac:dyDescent="0.25">
      <c r="A52" s="102" t="s">
        <v>108</v>
      </c>
      <c r="B52" s="102" t="s">
        <v>109</v>
      </c>
      <c r="C52" s="102" t="s">
        <v>110</v>
      </c>
    </row>
    <row r="53" spans="1:3" x14ac:dyDescent="0.25">
      <c r="A53" s="102" t="s">
        <v>111</v>
      </c>
      <c r="B53" s="102" t="s">
        <v>111</v>
      </c>
      <c r="C53" s="102" t="s">
        <v>112</v>
      </c>
    </row>
    <row r="54" spans="1:3" x14ac:dyDescent="0.25">
      <c r="A54" s="102"/>
      <c r="B54" s="102"/>
      <c r="C54" s="102"/>
    </row>
    <row r="55" spans="1:3" ht="26" x14ac:dyDescent="0.3">
      <c r="A55" s="103" t="s">
        <v>113</v>
      </c>
      <c r="B55" s="102"/>
      <c r="C55" s="102"/>
    </row>
    <row r="56" spans="1:3" x14ac:dyDescent="0.25">
      <c r="A56" s="102" t="s">
        <v>114</v>
      </c>
      <c r="B56" s="102" t="s">
        <v>115</v>
      </c>
      <c r="C56" s="102" t="s">
        <v>116</v>
      </c>
    </row>
    <row r="57" spans="1:3" x14ac:dyDescent="0.25">
      <c r="A57" s="102" t="s">
        <v>117</v>
      </c>
      <c r="B57" s="102" t="s">
        <v>118</v>
      </c>
      <c r="C57" s="102" t="s">
        <v>119</v>
      </c>
    </row>
    <row r="58" spans="1:3" x14ac:dyDescent="0.25">
      <c r="A58" s="102" t="s">
        <v>120</v>
      </c>
      <c r="B58" s="102" t="s">
        <v>121</v>
      </c>
      <c r="C58" s="102" t="s">
        <v>122</v>
      </c>
    </row>
    <row r="59" spans="1:3" x14ac:dyDescent="0.25">
      <c r="A59" s="102" t="s">
        <v>123</v>
      </c>
      <c r="B59" s="102" t="s">
        <v>124</v>
      </c>
      <c r="C59" s="102" t="s">
        <v>125</v>
      </c>
    </row>
    <row r="60" spans="1:3" x14ac:dyDescent="0.25">
      <c r="A60" s="102" t="s">
        <v>126</v>
      </c>
      <c r="B60" s="102" t="s">
        <v>127</v>
      </c>
      <c r="C60" s="102" t="s">
        <v>128</v>
      </c>
    </row>
    <row r="61" spans="1:3" x14ac:dyDescent="0.25">
      <c r="A61" s="102"/>
      <c r="B61" s="102"/>
      <c r="C61" s="102"/>
    </row>
    <row r="62" spans="1:3" ht="13" x14ac:dyDescent="0.3">
      <c r="A62" s="103" t="s">
        <v>129</v>
      </c>
      <c r="B62" s="102"/>
      <c r="C62" s="102"/>
    </row>
    <row r="63" spans="1:3" x14ac:dyDescent="0.25">
      <c r="A63" s="102" t="s">
        <v>130</v>
      </c>
      <c r="B63" s="102" t="s">
        <v>131</v>
      </c>
      <c r="C63" s="102" t="s">
        <v>132</v>
      </c>
    </row>
    <row r="64" spans="1:3" x14ac:dyDescent="0.25">
      <c r="A64" s="102" t="s">
        <v>133</v>
      </c>
      <c r="B64" s="102" t="s">
        <v>134</v>
      </c>
      <c r="C64" s="102" t="s">
        <v>135</v>
      </c>
    </row>
    <row r="65" spans="1:3" x14ac:dyDescent="0.25">
      <c r="A65" s="102" t="s">
        <v>136</v>
      </c>
      <c r="B65" s="102" t="s">
        <v>137</v>
      </c>
      <c r="C65" s="102" t="s">
        <v>138</v>
      </c>
    </row>
    <row r="66" spans="1:3" x14ac:dyDescent="0.25">
      <c r="A66" s="102" t="s">
        <v>139</v>
      </c>
      <c r="B66" s="102" t="s">
        <v>140</v>
      </c>
      <c r="C66" s="102" t="s">
        <v>141</v>
      </c>
    </row>
    <row r="67" spans="1:3" x14ac:dyDescent="0.25">
      <c r="A67" s="102" t="s">
        <v>142</v>
      </c>
      <c r="B67" s="102" t="s">
        <v>143</v>
      </c>
      <c r="C67" s="102" t="s">
        <v>144</v>
      </c>
    </row>
    <row r="68" spans="1:3" x14ac:dyDescent="0.25">
      <c r="A68" s="102" t="s">
        <v>145</v>
      </c>
      <c r="B68" s="102" t="s">
        <v>145</v>
      </c>
      <c r="C68" s="102" t="s">
        <v>146</v>
      </c>
    </row>
    <row r="69" spans="1:3" x14ac:dyDescent="0.25">
      <c r="A69" s="102"/>
      <c r="B69" s="102"/>
      <c r="C69" s="102"/>
    </row>
    <row r="70" spans="1:3" ht="13" x14ac:dyDescent="0.3">
      <c r="A70" s="103" t="s">
        <v>147</v>
      </c>
      <c r="B70" s="102"/>
      <c r="C70" s="102"/>
    </row>
    <row r="71" spans="1:3" x14ac:dyDescent="0.25">
      <c r="A71" s="102" t="s">
        <v>148</v>
      </c>
      <c r="B71" s="102" t="s">
        <v>149</v>
      </c>
      <c r="C71" s="102" t="s">
        <v>150</v>
      </c>
    </row>
    <row r="72" spans="1:3" ht="25" x14ac:dyDescent="0.25">
      <c r="A72" s="102" t="s">
        <v>151</v>
      </c>
      <c r="B72" s="102" t="s">
        <v>152</v>
      </c>
      <c r="C72" s="102" t="s">
        <v>153</v>
      </c>
    </row>
    <row r="73" spans="1:3" x14ac:dyDescent="0.25">
      <c r="A73" s="102" t="s">
        <v>154</v>
      </c>
      <c r="B73" s="102" t="s">
        <v>154</v>
      </c>
      <c r="C73" s="102" t="s">
        <v>155</v>
      </c>
    </row>
    <row r="74" spans="1:3" x14ac:dyDescent="0.25">
      <c r="A74" s="102" t="s">
        <v>156</v>
      </c>
      <c r="B74" s="102" t="s">
        <v>157</v>
      </c>
      <c r="C74" s="102" t="s">
        <v>158</v>
      </c>
    </row>
    <row r="75" spans="1:3" x14ac:dyDescent="0.25">
      <c r="A75" s="102" t="s">
        <v>159</v>
      </c>
      <c r="B75" s="102" t="s">
        <v>160</v>
      </c>
      <c r="C75" s="102" t="s">
        <v>161</v>
      </c>
    </row>
    <row r="76" spans="1:3" x14ac:dyDescent="0.25">
      <c r="A76" s="102" t="s">
        <v>162</v>
      </c>
      <c r="B76" s="102" t="s">
        <v>163</v>
      </c>
      <c r="C76" s="102" t="s">
        <v>164</v>
      </c>
    </row>
    <row r="77" spans="1:3" x14ac:dyDescent="0.25">
      <c r="A77" s="102" t="s">
        <v>165</v>
      </c>
      <c r="B77" s="102" t="s">
        <v>166</v>
      </c>
      <c r="C77" s="102" t="s">
        <v>167</v>
      </c>
    </row>
    <row r="78" spans="1:3" x14ac:dyDescent="0.25">
      <c r="A78" s="102" t="s">
        <v>168</v>
      </c>
      <c r="B78" s="102" t="s">
        <v>169</v>
      </c>
      <c r="C78" s="102" t="s">
        <v>170</v>
      </c>
    </row>
    <row r="79" spans="1:3" x14ac:dyDescent="0.25">
      <c r="A79" s="102"/>
      <c r="B79" s="102"/>
      <c r="C79" s="102"/>
    </row>
    <row r="80" spans="1:3" ht="13" x14ac:dyDescent="0.3">
      <c r="A80" s="103" t="s">
        <v>171</v>
      </c>
      <c r="B80" s="102"/>
      <c r="C80" s="102"/>
    </row>
    <row r="81" spans="1:3" x14ac:dyDescent="0.25">
      <c r="A81" s="102" t="s">
        <v>172</v>
      </c>
      <c r="B81" s="102" t="s">
        <v>173</v>
      </c>
      <c r="C81" s="102" t="s">
        <v>174</v>
      </c>
    </row>
    <row r="82" spans="1:3" x14ac:dyDescent="0.25">
      <c r="A82" s="102" t="s">
        <v>175</v>
      </c>
      <c r="B82" s="102" t="s">
        <v>176</v>
      </c>
      <c r="C82" s="102" t="s">
        <v>177</v>
      </c>
    </row>
    <row r="83" spans="1:3" x14ac:dyDescent="0.25">
      <c r="A83" s="102" t="s">
        <v>178</v>
      </c>
      <c r="B83" s="102" t="s">
        <v>179</v>
      </c>
      <c r="C83" s="102" t="s">
        <v>180</v>
      </c>
    </row>
    <row r="84" spans="1:3" x14ac:dyDescent="0.25">
      <c r="A84" s="102" t="s">
        <v>181</v>
      </c>
      <c r="B84" s="102" t="s">
        <v>182</v>
      </c>
      <c r="C84" s="102" t="s">
        <v>183</v>
      </c>
    </row>
    <row r="85" spans="1:3" x14ac:dyDescent="0.25">
      <c r="A85" s="102" t="s">
        <v>184</v>
      </c>
      <c r="B85" s="102" t="s">
        <v>185</v>
      </c>
      <c r="C85" s="102" t="s">
        <v>186</v>
      </c>
    </row>
    <row r="86" spans="1:3" x14ac:dyDescent="0.25">
      <c r="A86" s="102" t="s">
        <v>187</v>
      </c>
      <c r="B86" s="102" t="s">
        <v>188</v>
      </c>
      <c r="C86" s="102" t="s">
        <v>189</v>
      </c>
    </row>
    <row r="87" spans="1:3" x14ac:dyDescent="0.25">
      <c r="A87" s="102" t="s">
        <v>190</v>
      </c>
      <c r="B87" s="102" t="s">
        <v>191</v>
      </c>
      <c r="C87" s="102" t="s">
        <v>192</v>
      </c>
    </row>
    <row r="88" spans="1:3" x14ac:dyDescent="0.25">
      <c r="A88" s="102" t="s">
        <v>193</v>
      </c>
      <c r="B88" s="102" t="s">
        <v>194</v>
      </c>
      <c r="C88" s="102" t="s">
        <v>195</v>
      </c>
    </row>
    <row r="89" spans="1:3" x14ac:dyDescent="0.25">
      <c r="A89" s="102" t="s">
        <v>196</v>
      </c>
      <c r="B89" s="102" t="s">
        <v>197</v>
      </c>
      <c r="C89" s="102" t="s">
        <v>198</v>
      </c>
    </row>
    <row r="90" spans="1:3" x14ac:dyDescent="0.25">
      <c r="A90" s="102" t="s">
        <v>199</v>
      </c>
      <c r="B90" s="102" t="s">
        <v>200</v>
      </c>
      <c r="C90" s="102" t="s">
        <v>201</v>
      </c>
    </row>
    <row r="91" spans="1:3" x14ac:dyDescent="0.25">
      <c r="A91" s="102" t="s">
        <v>202</v>
      </c>
      <c r="B91" s="102" t="s">
        <v>203</v>
      </c>
      <c r="C91" s="102" t="s">
        <v>204</v>
      </c>
    </row>
    <row r="92" spans="1:3" x14ac:dyDescent="0.25">
      <c r="A92" s="102" t="s">
        <v>205</v>
      </c>
      <c r="B92" s="102" t="s">
        <v>206</v>
      </c>
      <c r="C92" s="102" t="s">
        <v>207</v>
      </c>
    </row>
    <row r="93" spans="1:3" x14ac:dyDescent="0.25">
      <c r="A93" s="102" t="s">
        <v>130</v>
      </c>
      <c r="B93" s="102" t="s">
        <v>131</v>
      </c>
      <c r="C93" s="102" t="s">
        <v>132</v>
      </c>
    </row>
    <row r="94" spans="1:3" x14ac:dyDescent="0.25">
      <c r="A94" s="102" t="s">
        <v>133</v>
      </c>
      <c r="B94" s="102" t="s">
        <v>134</v>
      </c>
      <c r="C94" s="102" t="s">
        <v>135</v>
      </c>
    </row>
    <row r="95" spans="1:3" x14ac:dyDescent="0.25">
      <c r="A95" s="102" t="s">
        <v>136</v>
      </c>
      <c r="B95" s="102" t="s">
        <v>137</v>
      </c>
      <c r="C95" s="102" t="s">
        <v>138</v>
      </c>
    </row>
    <row r="96" spans="1:3" x14ac:dyDescent="0.25">
      <c r="A96" s="102" t="s">
        <v>139</v>
      </c>
      <c r="B96" s="102" t="s">
        <v>140</v>
      </c>
      <c r="C96" s="102" t="s">
        <v>141</v>
      </c>
    </row>
    <row r="97" spans="1:3" x14ac:dyDescent="0.25">
      <c r="A97" s="102" t="s">
        <v>142</v>
      </c>
      <c r="B97" s="102" t="s">
        <v>143</v>
      </c>
      <c r="C97" s="102" t="s">
        <v>144</v>
      </c>
    </row>
  </sheetData>
  <sheetProtection algorithmName="SHA-512" hashValue="OLxiViTU09Xgk4RlLopUv/mjxqN7cIiKoVQQsR1f+iDn15twbyr9ZE4QJgmma0qyWWD1NKMl3yKCZaTTNOhlww==" saltValue="eFdP9Q53g869a/kFmNmMGA==" spinCount="100000" sheet="1" objects="1" scenario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BE49"/>
  <sheetViews>
    <sheetView zoomScale="85" zoomScaleNormal="85" workbookViewId="0">
      <selection activeCell="B32" sqref="B32"/>
    </sheetView>
  </sheetViews>
  <sheetFormatPr defaultColWidth="9.26953125" defaultRowHeight="12.5" x14ac:dyDescent="0.25"/>
  <cols>
    <col min="1" max="1" width="131.81640625" bestFit="1" customWidth="1"/>
    <col min="2" max="2" width="24.453125" style="118" bestFit="1" customWidth="1"/>
    <col min="3" max="3" width="34.54296875" style="118" bestFit="1" customWidth="1"/>
    <col min="4" max="4" width="29.1796875" style="118" bestFit="1" customWidth="1"/>
    <col min="5" max="5" width="13.81640625" style="118" bestFit="1" customWidth="1"/>
    <col min="6" max="6" width="9.1796875" style="118" bestFit="1" customWidth="1"/>
    <col min="7" max="7" width="10.54296875" style="118" bestFit="1" customWidth="1"/>
    <col min="8" max="8" width="13.1796875" style="118" bestFit="1" customWidth="1"/>
    <col min="9" max="10" width="9.54296875" style="118" customWidth="1"/>
  </cols>
  <sheetData>
    <row r="1" spans="1:57" s="10" customFormat="1" ht="14" x14ac:dyDescent="0.3">
      <c r="A1" s="9" t="s">
        <v>418</v>
      </c>
      <c r="B1" s="26"/>
      <c r="C1" s="26"/>
      <c r="D1" s="26"/>
      <c r="E1" s="26"/>
      <c r="F1" s="26"/>
      <c r="G1" s="26"/>
      <c r="H1" s="26"/>
      <c r="I1" s="26"/>
      <c r="J1" s="26"/>
    </row>
    <row r="2" spans="1:57" x14ac:dyDescent="0.25">
      <c r="A2" s="27"/>
      <c r="B2" s="28"/>
      <c r="C2" s="28"/>
      <c r="D2" s="28"/>
      <c r="E2" s="28"/>
      <c r="F2" s="28"/>
      <c r="G2" s="28"/>
      <c r="H2" s="28"/>
      <c r="I2" s="28"/>
      <c r="J2" s="28"/>
    </row>
    <row r="3" spans="1:57" ht="14" x14ac:dyDescent="0.25">
      <c r="A3" s="88" t="s">
        <v>418</v>
      </c>
      <c r="B3" s="88" t="s">
        <v>208</v>
      </c>
      <c r="C3" s="88" t="s">
        <v>419</v>
      </c>
      <c r="D3" s="88" t="s">
        <v>420</v>
      </c>
      <c r="E3" s="88" t="s">
        <v>421</v>
      </c>
      <c r="F3" s="88" t="s">
        <v>422</v>
      </c>
      <c r="G3" s="88" t="s">
        <v>423</v>
      </c>
      <c r="H3" s="88" t="s">
        <v>424</v>
      </c>
      <c r="I3" s="168"/>
      <c r="J3" s="168"/>
    </row>
    <row r="4" spans="1:57" ht="13" x14ac:dyDescent="0.25">
      <c r="A4" s="69" t="s">
        <v>213</v>
      </c>
      <c r="B4" s="110" t="s">
        <v>18</v>
      </c>
      <c r="C4" s="110" t="s">
        <v>18</v>
      </c>
      <c r="D4" s="32" t="s">
        <v>18</v>
      </c>
      <c r="E4" s="32" t="s">
        <v>12</v>
      </c>
      <c r="F4" s="32" t="s">
        <v>6</v>
      </c>
      <c r="G4" s="32" t="s">
        <v>9</v>
      </c>
      <c r="H4" s="32" t="s">
        <v>9</v>
      </c>
      <c r="I4" s="169"/>
      <c r="J4" s="169"/>
    </row>
    <row r="5" spans="1:57" ht="13" x14ac:dyDescent="0.25">
      <c r="A5" s="56" t="s">
        <v>214</v>
      </c>
      <c r="B5" s="110" t="s">
        <v>18</v>
      </c>
      <c r="C5" s="110" t="s">
        <v>18</v>
      </c>
      <c r="D5" s="33" t="s">
        <v>18</v>
      </c>
      <c r="E5" s="33">
        <v>140.834</v>
      </c>
      <c r="F5" s="33">
        <v>142.989</v>
      </c>
      <c r="G5" s="33">
        <v>146.94499999999999</v>
      </c>
      <c r="H5" s="33">
        <v>147.26</v>
      </c>
      <c r="I5" s="82"/>
      <c r="J5" s="82"/>
    </row>
    <row r="6" spans="1:57" s="7" customFormat="1" ht="13" x14ac:dyDescent="0.25">
      <c r="A6" s="56" t="s">
        <v>372</v>
      </c>
      <c r="B6" s="61"/>
      <c r="C6" s="61"/>
      <c r="D6" s="61"/>
      <c r="E6" s="61"/>
      <c r="F6" s="61"/>
      <c r="G6" s="61"/>
      <c r="H6" s="61"/>
      <c r="I6" s="170"/>
      <c r="J6" s="170"/>
    </row>
    <row r="7" spans="1:57" s="21" customFormat="1" x14ac:dyDescent="0.25">
      <c r="A7" s="50" t="s">
        <v>425</v>
      </c>
      <c r="B7" s="38">
        <v>100</v>
      </c>
      <c r="C7" s="38">
        <v>105.3008</v>
      </c>
      <c r="D7" s="38">
        <v>103.32600427052922</v>
      </c>
      <c r="E7" s="38">
        <v>98.865483422983715</v>
      </c>
      <c r="F7" s="38">
        <v>103.091976403339</v>
      </c>
      <c r="G7" s="38">
        <v>103.73831531338713</v>
      </c>
      <c r="H7" s="38">
        <v>103.14772109486154</v>
      </c>
      <c r="I7" s="83"/>
      <c r="J7" s="83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1:57" s="21" customFormat="1" x14ac:dyDescent="0.25">
      <c r="A8" s="50" t="s">
        <v>426</v>
      </c>
      <c r="B8" s="38">
        <v>100</v>
      </c>
      <c r="C8" s="38">
        <v>94.820220000000006</v>
      </c>
      <c r="D8" s="38">
        <v>95.63528989644557</v>
      </c>
      <c r="E8" s="38">
        <v>96.399309521161612</v>
      </c>
      <c r="F8" s="38">
        <v>98.659675840946093</v>
      </c>
      <c r="G8" s="38">
        <v>93.21047075097664</v>
      </c>
      <c r="H8" s="38">
        <v>95.035723097414021</v>
      </c>
      <c r="I8" s="83"/>
      <c r="J8" s="83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</row>
    <row r="9" spans="1:57" s="21" customFormat="1" x14ac:dyDescent="0.25">
      <c r="A9" s="50" t="s">
        <v>427</v>
      </c>
      <c r="B9" s="38">
        <v>100</v>
      </c>
      <c r="C9" s="38">
        <v>97.018649999999994</v>
      </c>
      <c r="D9" s="38">
        <v>90.386543230478992</v>
      </c>
      <c r="E9" s="38">
        <v>97.04178615034111</v>
      </c>
      <c r="F9" s="38">
        <v>96.935303719386354</v>
      </c>
      <c r="G9" s="38">
        <v>89.217612941469952</v>
      </c>
      <c r="H9" s="38">
        <v>85.006713030580698</v>
      </c>
      <c r="I9" s="83"/>
      <c r="J9" s="83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7" s="21" customFormat="1" x14ac:dyDescent="0.25">
      <c r="A10" s="50" t="s">
        <v>428</v>
      </c>
      <c r="B10" s="38">
        <v>100</v>
      </c>
      <c r="C10" s="55">
        <v>99.042437631578935</v>
      </c>
      <c r="D10" s="55">
        <v>96.501900266535472</v>
      </c>
      <c r="E10" s="38">
        <v>97.638159395122415</v>
      </c>
      <c r="F10" s="38">
        <v>99.720182056709774</v>
      </c>
      <c r="G10" s="38">
        <v>95.388799668611242</v>
      </c>
      <c r="H10" s="38">
        <v>94.396719074285414</v>
      </c>
      <c r="I10" s="84"/>
      <c r="J10" s="84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</row>
    <row r="11" spans="1:57" s="21" customFormat="1" x14ac:dyDescent="0.25">
      <c r="A11" s="51" t="s">
        <v>429</v>
      </c>
      <c r="B11" s="38">
        <v>100</v>
      </c>
      <c r="C11" s="38">
        <v>98.840469999999996</v>
      </c>
      <c r="D11" s="38">
        <v>101.78126060287977</v>
      </c>
      <c r="E11" s="38">
        <v>92.55801799455746</v>
      </c>
      <c r="F11" s="38">
        <v>100.7290064236719</v>
      </c>
      <c r="G11" s="38">
        <v>101.73604936927016</v>
      </c>
      <c r="H11" s="38">
        <v>102.87872601569725</v>
      </c>
      <c r="I11" s="83"/>
      <c r="J11" s="83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</row>
    <row r="12" spans="1:57" s="156" customFormat="1" ht="13" x14ac:dyDescent="0.25">
      <c r="A12" s="69" t="s">
        <v>378</v>
      </c>
      <c r="B12" s="61"/>
      <c r="C12" s="61"/>
      <c r="D12" s="61"/>
      <c r="E12" s="61"/>
      <c r="F12" s="61"/>
      <c r="G12" s="61"/>
      <c r="H12" s="61"/>
      <c r="I12" s="170"/>
      <c r="J12" s="170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</row>
    <row r="13" spans="1:57" s="21" customFormat="1" x14ac:dyDescent="0.25">
      <c r="A13" s="50" t="s">
        <v>430</v>
      </c>
      <c r="B13" s="34">
        <v>100</v>
      </c>
      <c r="C13" s="38"/>
      <c r="D13" s="38">
        <v>106.84486267347297</v>
      </c>
      <c r="E13" s="38">
        <v>117.52777310143675</v>
      </c>
      <c r="F13" s="38">
        <v>111.91359747529664</v>
      </c>
      <c r="G13" s="38">
        <v>108.37355594977981</v>
      </c>
      <c r="H13" s="38">
        <v>100.24743459534244</v>
      </c>
      <c r="I13" s="83"/>
      <c r="J13" s="83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</row>
    <row r="14" spans="1:57" s="21" customFormat="1" x14ac:dyDescent="0.25">
      <c r="A14" s="48" t="s">
        <v>431</v>
      </c>
      <c r="B14" s="38">
        <v>100</v>
      </c>
      <c r="C14" s="38"/>
      <c r="D14" s="38">
        <v>96.78243246748022</v>
      </c>
      <c r="E14" s="38">
        <v>94.576879775050216</v>
      </c>
      <c r="F14" s="38">
        <v>97.057048321073864</v>
      </c>
      <c r="G14" s="38">
        <v>95.084970703993605</v>
      </c>
      <c r="H14" s="38">
        <v>98.205278377373233</v>
      </c>
      <c r="I14" s="83"/>
      <c r="J14" s="83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</row>
    <row r="15" spans="1:57" s="159" customFormat="1" x14ac:dyDescent="0.25">
      <c r="A15" s="79" t="s">
        <v>381</v>
      </c>
      <c r="B15" s="44">
        <f>65+7.33</f>
        <v>72.33</v>
      </c>
      <c r="C15" s="44"/>
      <c r="D15" s="44">
        <f>65+7.4821282378147</f>
        <v>72.482128237814706</v>
      </c>
      <c r="E15" s="44">
        <f>65+4.10185838748744</f>
        <v>69.101858387487439</v>
      </c>
      <c r="F15" s="44">
        <f>65+6.86964285727781</f>
        <v>71.86964285727781</v>
      </c>
      <c r="G15" s="44">
        <f>65+7.89437795248018</f>
        <v>72.894377952480184</v>
      </c>
      <c r="H15" s="44">
        <f>65+7.6823639036861</f>
        <v>72.682363903686095</v>
      </c>
      <c r="I15" s="85"/>
      <c r="J15" s="8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</row>
    <row r="16" spans="1:57" s="21" customFormat="1" x14ac:dyDescent="0.25">
      <c r="A16" s="48" t="s">
        <v>432</v>
      </c>
      <c r="B16" s="38">
        <v>100</v>
      </c>
      <c r="C16" s="38"/>
      <c r="D16" s="38">
        <v>115.57011435791334</v>
      </c>
      <c r="E16" s="38">
        <v>100.73623941675257</v>
      </c>
      <c r="F16" s="38">
        <v>114.32337088946957</v>
      </c>
      <c r="G16" s="38">
        <v>116.70969111987208</v>
      </c>
      <c r="H16" s="38">
        <v>115.67728106439837</v>
      </c>
      <c r="I16" s="83"/>
      <c r="J16" s="83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</row>
    <row r="17" spans="1:57" s="159" customFormat="1" x14ac:dyDescent="0.25">
      <c r="A17" s="111" t="s">
        <v>433</v>
      </c>
      <c r="B17" s="44">
        <f>65+4.3690848764394</f>
        <v>69.369084876439402</v>
      </c>
      <c r="C17" s="44"/>
      <c r="D17" s="44">
        <f>65+0.824945507392</f>
        <v>65.824945507392002</v>
      </c>
      <c r="E17" s="44">
        <f>65+0.722316874586596</f>
        <v>65.722316874586596</v>
      </c>
      <c r="F17" s="44">
        <f>65+0.562444514830801</f>
        <v>65.562444514830801</v>
      </c>
      <c r="G17" s="44">
        <f>65+1.27827889539019</f>
        <v>66.278278895390187</v>
      </c>
      <c r="H17" s="44">
        <f>65+0.634113111954932</f>
        <v>65.634113111954932</v>
      </c>
      <c r="I17" s="85"/>
      <c r="J17" s="8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</row>
    <row r="18" spans="1:57" s="21" customFormat="1" x14ac:dyDescent="0.25">
      <c r="A18" s="48" t="s">
        <v>434</v>
      </c>
      <c r="B18" s="38">
        <v>100</v>
      </c>
      <c r="C18" s="38"/>
      <c r="D18" s="38">
        <v>101.73826168324585</v>
      </c>
      <c r="E18" s="38">
        <v>96.927340631377163</v>
      </c>
      <c r="F18" s="38">
        <v>100.03443579987986</v>
      </c>
      <c r="G18" s="38">
        <v>103.82128878308394</v>
      </c>
      <c r="H18" s="38">
        <v>101.3590604667738</v>
      </c>
      <c r="I18" s="83"/>
      <c r="J18" s="83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</row>
    <row r="19" spans="1:57" s="171" customFormat="1" ht="13" x14ac:dyDescent="0.25">
      <c r="A19" s="53" t="s">
        <v>239</v>
      </c>
      <c r="B19" s="61"/>
      <c r="C19" s="61"/>
      <c r="D19" s="61"/>
      <c r="E19" s="61"/>
      <c r="F19" s="61"/>
      <c r="G19" s="61"/>
      <c r="H19" s="61"/>
      <c r="I19" s="170"/>
      <c r="J19" s="170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</row>
    <row r="20" spans="1:57" s="21" customFormat="1" x14ac:dyDescent="0.25">
      <c r="A20" s="48" t="s">
        <v>386</v>
      </c>
      <c r="B20" s="38">
        <v>62.5759434798128</v>
      </c>
      <c r="C20" s="38"/>
      <c r="D20" s="38">
        <v>57.119071768862511</v>
      </c>
      <c r="E20" s="38">
        <v>56.122795572341971</v>
      </c>
      <c r="F20" s="38">
        <v>58.908799979684247</v>
      </c>
      <c r="G20" s="38">
        <v>54.632055536114912</v>
      </c>
      <c r="H20" s="38">
        <v>57.816359790788361</v>
      </c>
      <c r="I20" s="83"/>
      <c r="J20" s="83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</row>
    <row r="21" spans="1:57" s="21" customFormat="1" x14ac:dyDescent="0.25">
      <c r="A21" s="48" t="s">
        <v>435</v>
      </c>
      <c r="B21" s="38">
        <v>56.269460360823373</v>
      </c>
      <c r="C21" s="38"/>
      <c r="D21" s="38">
        <v>42.115425936120232</v>
      </c>
      <c r="E21" s="38">
        <v>46.452621291931443</v>
      </c>
      <c r="F21" s="38">
        <v>43.786152906101407</v>
      </c>
      <c r="G21" s="38">
        <v>43.237953386456617</v>
      </c>
      <c r="H21" s="38">
        <v>39.322171515802673</v>
      </c>
      <c r="I21" s="83"/>
      <c r="J21" s="83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</row>
    <row r="22" spans="1:57" s="21" customFormat="1" x14ac:dyDescent="0.25">
      <c r="A22" s="50" t="s">
        <v>436</v>
      </c>
      <c r="B22" s="38">
        <v>100</v>
      </c>
      <c r="C22" s="38"/>
      <c r="D22" s="38">
        <v>89.59522245943505</v>
      </c>
      <c r="E22" s="38" t="s">
        <v>437</v>
      </c>
      <c r="F22" s="38">
        <v>96.232775725961844</v>
      </c>
      <c r="G22" s="38">
        <v>89.658381415297541</v>
      </c>
      <c r="H22" s="38">
        <v>82.894510237045807</v>
      </c>
      <c r="I22" s="83"/>
      <c r="J22" s="83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</row>
    <row r="23" spans="1:57" s="22" customFormat="1" x14ac:dyDescent="0.25">
      <c r="A23" s="47" t="s">
        <v>240</v>
      </c>
      <c r="B23" s="44">
        <v>7.400576607730323</v>
      </c>
      <c r="C23" s="44"/>
      <c r="D23" s="44">
        <v>7.4684906729522194</v>
      </c>
      <c r="E23" s="44">
        <v>7.614218882278708</v>
      </c>
      <c r="F23" s="44">
        <v>7.5266990718277889</v>
      </c>
      <c r="G23" s="44">
        <v>7.322095386274726</v>
      </c>
      <c r="H23" s="44">
        <v>7.556677560754145</v>
      </c>
      <c r="I23" s="85"/>
      <c r="J23" s="85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</row>
    <row r="24" spans="1:57" s="160" customFormat="1" ht="13" x14ac:dyDescent="0.25">
      <c r="A24" s="69" t="s">
        <v>241</v>
      </c>
      <c r="B24" s="61"/>
      <c r="C24" s="61"/>
      <c r="D24" s="44"/>
      <c r="E24" s="44"/>
      <c r="F24" s="44"/>
      <c r="G24" s="44"/>
      <c r="H24" s="44"/>
      <c r="I24" s="85"/>
      <c r="J24" s="85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</row>
    <row r="25" spans="1:57" s="172" customFormat="1" x14ac:dyDescent="0.25">
      <c r="A25" s="59" t="s">
        <v>242</v>
      </c>
      <c r="B25" s="60">
        <v>6.7666666666666684</v>
      </c>
      <c r="C25" s="60"/>
      <c r="D25" s="44">
        <v>6.9666666666666659</v>
      </c>
      <c r="E25" s="60">
        <v>8.3000000000000007</v>
      </c>
      <c r="F25" s="44">
        <v>7.1</v>
      </c>
      <c r="G25" s="63">
        <v>6.1</v>
      </c>
      <c r="H25" s="60">
        <v>7.7</v>
      </c>
      <c r="I25" s="85"/>
      <c r="J25" s="85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</row>
    <row r="26" spans="1:57" s="172" customFormat="1" x14ac:dyDescent="0.25">
      <c r="A26" s="59" t="s">
        <v>243</v>
      </c>
      <c r="B26" s="60">
        <v>5.1499999999999995</v>
      </c>
      <c r="C26" s="60"/>
      <c r="D26" s="44">
        <v>5.1000000000000005</v>
      </c>
      <c r="E26" s="60">
        <v>4.5999999999999996</v>
      </c>
      <c r="F26" s="60">
        <v>5.3</v>
      </c>
      <c r="G26" s="64">
        <v>5</v>
      </c>
      <c r="H26" s="60">
        <v>5</v>
      </c>
      <c r="I26" s="85"/>
      <c r="J26" s="85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</row>
    <row r="27" spans="1:57" s="172" customFormat="1" x14ac:dyDescent="0.25">
      <c r="A27" s="59" t="s">
        <v>244</v>
      </c>
      <c r="B27" s="60">
        <v>6.916666666666667</v>
      </c>
      <c r="C27" s="60"/>
      <c r="D27" s="44">
        <v>5.6000000000000005</v>
      </c>
      <c r="E27" s="60">
        <v>6.1</v>
      </c>
      <c r="F27" s="60">
        <v>4.2</v>
      </c>
      <c r="G27" s="64">
        <v>7.3</v>
      </c>
      <c r="H27" s="60">
        <v>5.3</v>
      </c>
      <c r="I27" s="85"/>
      <c r="J27" s="85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</row>
    <row r="28" spans="1:57" s="173" customFormat="1" x14ac:dyDescent="0.25">
      <c r="A28" s="59" t="s">
        <v>392</v>
      </c>
      <c r="B28" s="60">
        <v>6.083333333333333</v>
      </c>
      <c r="C28" s="60"/>
      <c r="D28" s="44">
        <v>5.8999999999999995</v>
      </c>
      <c r="E28" s="60" t="s">
        <v>393</v>
      </c>
      <c r="F28" s="60">
        <v>5.8</v>
      </c>
      <c r="G28" s="64">
        <v>4.9000000000000004</v>
      </c>
      <c r="H28" s="60">
        <v>7</v>
      </c>
      <c r="I28" s="85"/>
      <c r="J28" s="85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</row>
    <row r="29" spans="1:57" s="172" customFormat="1" x14ac:dyDescent="0.25">
      <c r="A29" s="59" t="s">
        <v>395</v>
      </c>
      <c r="B29" s="60">
        <v>6.4416666666666664</v>
      </c>
      <c r="C29" s="60"/>
      <c r="D29" s="60">
        <v>4.7333333333333334</v>
      </c>
      <c r="E29" s="60" t="s">
        <v>18</v>
      </c>
      <c r="F29" s="60">
        <v>3.85</v>
      </c>
      <c r="G29" s="64">
        <v>3.65</v>
      </c>
      <c r="H29" s="60" t="s">
        <v>438</v>
      </c>
      <c r="I29" s="86"/>
      <c r="J29" s="86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</row>
    <row r="30" spans="1:57" s="14" customFormat="1" ht="13" x14ac:dyDescent="0.25">
      <c r="A30" s="54" t="s">
        <v>245</v>
      </c>
      <c r="B30" s="60"/>
      <c r="C30" s="60"/>
      <c r="D30" s="60"/>
      <c r="E30" s="60"/>
      <c r="F30" s="60"/>
      <c r="G30" s="64"/>
      <c r="H30" s="60"/>
      <c r="I30" s="86"/>
      <c r="J30" s="86"/>
    </row>
    <row r="31" spans="1:57" s="19" customFormat="1" x14ac:dyDescent="0.25">
      <c r="A31" s="59" t="s">
        <v>246</v>
      </c>
      <c r="B31" s="39" t="s">
        <v>18</v>
      </c>
      <c r="C31" s="39" t="s">
        <v>18</v>
      </c>
      <c r="D31" s="39" t="s">
        <v>18</v>
      </c>
      <c r="E31" s="39">
        <v>2023</v>
      </c>
      <c r="F31" s="61">
        <v>2005</v>
      </c>
      <c r="G31" s="39">
        <v>1998</v>
      </c>
      <c r="H31" s="61">
        <v>2017</v>
      </c>
      <c r="I31" s="87"/>
      <c r="J31" s="8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</row>
    <row r="32" spans="1:57" s="19" customFormat="1" ht="14" x14ac:dyDescent="0.25">
      <c r="A32" s="47" t="s">
        <v>247</v>
      </c>
      <c r="B32" s="39" t="s">
        <v>18</v>
      </c>
      <c r="C32" s="39"/>
      <c r="D32" s="32" t="s">
        <v>18</v>
      </c>
      <c r="E32" s="57" t="s">
        <v>249</v>
      </c>
      <c r="F32" s="57" t="s">
        <v>439</v>
      </c>
      <c r="G32" s="57" t="s">
        <v>249</v>
      </c>
      <c r="H32" s="57" t="s">
        <v>249</v>
      </c>
      <c r="I32" s="169"/>
      <c r="J32" s="169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</row>
    <row r="33" spans="1:57" s="19" customFormat="1" ht="14" x14ac:dyDescent="0.25">
      <c r="A33" s="47" t="s">
        <v>248</v>
      </c>
      <c r="B33" s="39" t="s">
        <v>18</v>
      </c>
      <c r="C33" s="39"/>
      <c r="D33" s="33" t="s">
        <v>18</v>
      </c>
      <c r="E33" s="57" t="s">
        <v>249</v>
      </c>
      <c r="F33" s="57" t="s">
        <v>267</v>
      </c>
      <c r="G33" s="57" t="s">
        <v>249</v>
      </c>
      <c r="H33" s="57" t="s">
        <v>249</v>
      </c>
      <c r="I33" s="82"/>
      <c r="J33" s="82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</row>
    <row r="34" spans="1:57" s="19" customFormat="1" ht="13" x14ac:dyDescent="0.25">
      <c r="A34" s="53" t="s">
        <v>250</v>
      </c>
      <c r="B34" s="39"/>
      <c r="C34" s="38"/>
      <c r="D34" s="33"/>
      <c r="E34" s="33"/>
      <c r="F34" s="33"/>
      <c r="G34" s="33"/>
      <c r="H34" s="33"/>
      <c r="I34" s="82"/>
      <c r="J34" s="82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</row>
    <row r="35" spans="1:57" s="156" customFormat="1" x14ac:dyDescent="0.25">
      <c r="A35" s="47" t="s">
        <v>397</v>
      </c>
      <c r="B35" s="39" t="s">
        <v>18</v>
      </c>
      <c r="C35" s="39" t="s">
        <v>18</v>
      </c>
      <c r="D35" s="39" t="s">
        <v>18</v>
      </c>
      <c r="E35" s="61">
        <v>2</v>
      </c>
      <c r="F35" s="61">
        <v>11</v>
      </c>
      <c r="G35" s="61">
        <v>5</v>
      </c>
      <c r="H35" s="61">
        <v>6</v>
      </c>
      <c r="I35" s="87"/>
      <c r="J35" s="8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</row>
    <row r="36" spans="1:57" s="21" customFormat="1" x14ac:dyDescent="0.25">
      <c r="A36" s="47" t="s">
        <v>251</v>
      </c>
      <c r="B36" s="39" t="s">
        <v>18</v>
      </c>
      <c r="C36" s="39" t="s">
        <v>18</v>
      </c>
      <c r="D36" s="39" t="s">
        <v>18</v>
      </c>
      <c r="E36" s="61">
        <v>12</v>
      </c>
      <c r="F36" s="61">
        <v>28</v>
      </c>
      <c r="G36" s="61">
        <v>10</v>
      </c>
      <c r="H36" s="61">
        <v>11</v>
      </c>
      <c r="I36" s="87"/>
      <c r="J36" s="8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</row>
    <row r="37" spans="1:57" s="21" customFormat="1" x14ac:dyDescent="0.25">
      <c r="A37" s="47" t="s">
        <v>252</v>
      </c>
      <c r="B37" s="39" t="s">
        <v>18</v>
      </c>
      <c r="C37" s="39" t="s">
        <v>18</v>
      </c>
      <c r="D37" s="39" t="s">
        <v>18</v>
      </c>
      <c r="E37" s="39">
        <v>9</v>
      </c>
      <c r="F37" s="39">
        <v>26</v>
      </c>
      <c r="G37" s="39">
        <v>10</v>
      </c>
      <c r="H37" s="39">
        <v>11</v>
      </c>
      <c r="I37" s="87"/>
      <c r="J37" s="8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</row>
    <row r="38" spans="1:57" s="21" customFormat="1" x14ac:dyDescent="0.25">
      <c r="A38" s="47" t="s">
        <v>253</v>
      </c>
      <c r="B38" s="39" t="s">
        <v>18</v>
      </c>
      <c r="C38" s="39" t="s">
        <v>18</v>
      </c>
      <c r="D38" s="39" t="s">
        <v>18</v>
      </c>
      <c r="E38" s="61">
        <v>6</v>
      </c>
      <c r="F38" s="61">
        <v>24</v>
      </c>
      <c r="G38" s="61">
        <v>10</v>
      </c>
      <c r="H38" s="61">
        <v>11</v>
      </c>
      <c r="I38" s="87"/>
      <c r="J38" s="8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</row>
    <row r="39" spans="1:57" x14ac:dyDescent="0.25">
      <c r="A39" s="94" t="s">
        <v>440</v>
      </c>
      <c r="B39" s="143"/>
      <c r="C39" s="143"/>
      <c r="D39" s="190"/>
      <c r="E39" s="190"/>
      <c r="F39" s="190"/>
      <c r="G39" s="190"/>
      <c r="H39" s="190"/>
      <c r="I39" s="23"/>
      <c r="J39" s="23"/>
    </row>
    <row r="40" spans="1:57" x14ac:dyDescent="0.25">
      <c r="A40" s="94" t="s">
        <v>441</v>
      </c>
      <c r="B40" s="143"/>
      <c r="C40" s="143"/>
      <c r="D40" s="113"/>
      <c r="E40" s="113"/>
      <c r="F40" s="113"/>
      <c r="G40" s="113"/>
      <c r="H40" s="113"/>
    </row>
    <row r="41" spans="1:57" ht="13" x14ac:dyDescent="0.3">
      <c r="A41" s="94" t="s">
        <v>258</v>
      </c>
      <c r="B41" s="114"/>
      <c r="C41" s="114"/>
      <c r="D41" s="113"/>
      <c r="E41" s="113"/>
      <c r="F41" s="113"/>
      <c r="G41" s="113"/>
      <c r="H41" s="113"/>
    </row>
    <row r="42" spans="1:57" x14ac:dyDescent="0.25">
      <c r="A42" s="94" t="s">
        <v>442</v>
      </c>
      <c r="B42" s="113"/>
      <c r="C42" s="113"/>
      <c r="D42" s="191"/>
      <c r="E42" s="113"/>
      <c r="F42" s="113"/>
      <c r="G42" s="113"/>
      <c r="H42" s="113"/>
      <c r="I42" s="175"/>
      <c r="J42" s="175"/>
    </row>
    <row r="43" spans="1:57" ht="13" x14ac:dyDescent="0.3">
      <c r="A43" s="115" t="s">
        <v>259</v>
      </c>
      <c r="B43" s="116"/>
      <c r="C43" s="116"/>
      <c r="D43" s="113"/>
      <c r="E43" s="113"/>
      <c r="F43" s="113"/>
      <c r="G43" s="113"/>
      <c r="H43" s="113"/>
    </row>
    <row r="44" spans="1:57" ht="13" x14ac:dyDescent="0.3">
      <c r="B44" s="117"/>
      <c r="C44" s="117"/>
    </row>
    <row r="45" spans="1:57" x14ac:dyDescent="0.25">
      <c r="B45" s="175"/>
      <c r="C45" s="175"/>
    </row>
    <row r="46" spans="1:57" x14ac:dyDescent="0.25">
      <c r="B46" s="175"/>
      <c r="C46" s="175"/>
      <c r="E46" s="174"/>
      <c r="F46" s="174"/>
      <c r="H46" s="174"/>
    </row>
    <row r="47" spans="1:57" x14ac:dyDescent="0.25">
      <c r="E47" s="174"/>
      <c r="F47" s="174"/>
      <c r="H47" s="174"/>
    </row>
    <row r="48" spans="1:57" x14ac:dyDescent="0.25">
      <c r="E48" s="174"/>
      <c r="F48" s="174"/>
      <c r="H48" s="174"/>
    </row>
    <row r="49" spans="5:8" x14ac:dyDescent="0.25">
      <c r="E49" s="175"/>
      <c r="F49" s="175"/>
      <c r="H49" s="175"/>
    </row>
  </sheetData>
  <sheetProtection algorithmName="SHA-512" hashValue="lqkohQdQFvdDE26p4/VvbeyduZ30mMvhmRuv34m6M1d7Reemyhi4drgB2TX+UlSljF9dyPfJp4V7u4fAQwdHoQ==" saltValue="nbWLSR/VDWxoj3xUeZeSjA==" spinCount="100000" sheet="1" objects="1" scenarios="1"/>
  <sortState xmlns:xlrd2="http://schemas.microsoft.com/office/spreadsheetml/2017/richdata2" columnSort="1" ref="N1:AB55">
    <sortCondition ref="N5:AB5"/>
  </sortState>
  <phoneticPr fontId="8" type="noConversion"/>
  <printOptions horizontalCentered="1" verticalCentered="1"/>
  <pageMargins left="0.39370078740157483" right="0.39370078740157483" top="0.39370078740157483" bottom="0.39370078740157483" header="0.39370078740157483" footer="0"/>
  <pageSetup paperSize="8" scale="70" orientation="landscape" r:id="rId1"/>
  <headerFooter alignWithMargins="0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E56CF-6064-43F8-9DEA-792C5C186469}">
  <dimension ref="A1:R46"/>
  <sheetViews>
    <sheetView topLeftCell="A6" zoomScale="90" zoomScaleNormal="90" workbookViewId="0">
      <selection activeCell="B33" sqref="B33"/>
    </sheetView>
  </sheetViews>
  <sheetFormatPr defaultRowHeight="12.5" x14ac:dyDescent="0.25"/>
  <cols>
    <col min="1" max="1" width="132.81640625" bestFit="1" customWidth="1"/>
    <col min="2" max="2" width="23.7265625" style="118" bestFit="1" customWidth="1"/>
    <col min="3" max="3" width="30.1796875" style="118" bestFit="1" customWidth="1"/>
    <col min="4" max="4" width="44.26953125" style="118" bestFit="1" customWidth="1"/>
    <col min="5" max="5" width="12.7265625" style="118" bestFit="1" customWidth="1"/>
    <col min="6" max="6" width="30.54296875" style="118" bestFit="1" customWidth="1"/>
    <col min="7" max="7" width="10.453125" style="118" bestFit="1" customWidth="1"/>
    <col min="8" max="8" width="10.1796875" style="118" bestFit="1" customWidth="1"/>
    <col min="9" max="9" width="12.1796875" style="118" bestFit="1" customWidth="1"/>
    <col min="10" max="10" width="21.1796875" style="118" bestFit="1" customWidth="1"/>
    <col min="11" max="11" width="15.81640625" style="118" bestFit="1" customWidth="1"/>
    <col min="12" max="12" width="10.54296875" style="118" bestFit="1" customWidth="1"/>
    <col min="13" max="13" width="12.26953125" style="118" bestFit="1" customWidth="1"/>
    <col min="14" max="14" width="8.26953125" style="118" bestFit="1" customWidth="1"/>
    <col min="15" max="15" width="15.1796875" style="118" bestFit="1" customWidth="1"/>
    <col min="16" max="16" width="33.1796875" style="118" bestFit="1" customWidth="1"/>
    <col min="17" max="17" width="26.1796875" style="118" bestFit="1" customWidth="1"/>
    <col min="18" max="18" width="13.54296875" style="118" bestFit="1" customWidth="1"/>
  </cols>
  <sheetData>
    <row r="1" spans="1:18" ht="14" x14ac:dyDescent="0.3">
      <c r="A1" s="9" t="s">
        <v>443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09"/>
      <c r="R1" s="26"/>
    </row>
    <row r="2" spans="1:18" x14ac:dyDescent="0.25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14" x14ac:dyDescent="0.25">
      <c r="A3" s="88" t="s">
        <v>443</v>
      </c>
      <c r="B3" s="88" t="s">
        <v>208</v>
      </c>
      <c r="C3" s="88" t="s">
        <v>401</v>
      </c>
      <c r="D3" s="88" t="s">
        <v>444</v>
      </c>
      <c r="E3" s="88" t="s">
        <v>445</v>
      </c>
      <c r="F3" s="88" t="s">
        <v>446</v>
      </c>
      <c r="G3" s="88" t="s">
        <v>447</v>
      </c>
      <c r="H3" s="88" t="s">
        <v>448</v>
      </c>
      <c r="I3" s="88" t="s">
        <v>449</v>
      </c>
      <c r="J3" s="88" t="s">
        <v>450</v>
      </c>
      <c r="K3" s="88" t="s">
        <v>451</v>
      </c>
      <c r="L3" s="88" t="s">
        <v>452</v>
      </c>
      <c r="M3" s="88" t="s">
        <v>453</v>
      </c>
      <c r="N3" s="88" t="s">
        <v>454</v>
      </c>
      <c r="O3" s="88" t="s">
        <v>455</v>
      </c>
      <c r="P3" s="88" t="s">
        <v>456</v>
      </c>
      <c r="Q3" s="88" t="s">
        <v>457</v>
      </c>
      <c r="R3" s="88" t="s">
        <v>458</v>
      </c>
    </row>
    <row r="4" spans="1:18" ht="13" x14ac:dyDescent="0.25">
      <c r="A4" s="69" t="s">
        <v>213</v>
      </c>
      <c r="B4" s="110" t="s">
        <v>18</v>
      </c>
      <c r="C4" s="110" t="s">
        <v>18</v>
      </c>
      <c r="D4" s="32" t="s">
        <v>15</v>
      </c>
      <c r="E4" s="32" t="s">
        <v>6</v>
      </c>
      <c r="F4" s="32" t="s">
        <v>6</v>
      </c>
      <c r="G4" s="32" t="s">
        <v>6</v>
      </c>
      <c r="H4" s="32" t="s">
        <v>12</v>
      </c>
      <c r="I4" s="32" t="s">
        <v>12</v>
      </c>
      <c r="J4" s="32" t="s">
        <v>9</v>
      </c>
      <c r="K4" s="32" t="s">
        <v>6</v>
      </c>
      <c r="L4" s="32" t="s">
        <v>12</v>
      </c>
      <c r="M4" s="32" t="s">
        <v>12</v>
      </c>
      <c r="N4" s="32" t="s">
        <v>6</v>
      </c>
      <c r="O4" s="32" t="s">
        <v>6</v>
      </c>
      <c r="P4" s="32" t="s">
        <v>9</v>
      </c>
      <c r="Q4" s="32" t="s">
        <v>9</v>
      </c>
      <c r="R4" s="32" t="s">
        <v>15</v>
      </c>
    </row>
    <row r="5" spans="1:18" ht="13" x14ac:dyDescent="0.25">
      <c r="A5" s="56" t="s">
        <v>214</v>
      </c>
      <c r="B5" s="110" t="s">
        <v>18</v>
      </c>
      <c r="C5" s="110" t="s">
        <v>18</v>
      </c>
      <c r="D5" s="33">
        <v>137.90699999999998</v>
      </c>
      <c r="E5" s="33">
        <v>138.982</v>
      </c>
      <c r="F5" s="33">
        <v>140.03899999999999</v>
      </c>
      <c r="G5" s="33">
        <v>141.00200000000001</v>
      </c>
      <c r="H5" s="33">
        <v>141.185</v>
      </c>
      <c r="I5" s="33">
        <v>141.232</v>
      </c>
      <c r="J5" s="33">
        <v>141.273</v>
      </c>
      <c r="K5" s="33">
        <v>141.63299999999998</v>
      </c>
      <c r="L5" s="33">
        <v>142.166</v>
      </c>
      <c r="M5" s="33">
        <v>142.68700000000001</v>
      </c>
      <c r="N5" s="33">
        <v>143.07900000000001</v>
      </c>
      <c r="O5" s="33">
        <v>143.11099999999999</v>
      </c>
      <c r="P5" s="33">
        <v>143.69900000000001</v>
      </c>
      <c r="Q5" s="33">
        <v>145.72</v>
      </c>
      <c r="R5" s="33">
        <v>147.39699999999999</v>
      </c>
    </row>
    <row r="6" spans="1:18" ht="13" x14ac:dyDescent="0.25">
      <c r="A6" s="56" t="s">
        <v>372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x14ac:dyDescent="0.25">
      <c r="A7" s="50" t="s">
        <v>425</v>
      </c>
      <c r="B7" s="38">
        <v>100</v>
      </c>
      <c r="C7" s="38">
        <v>99.484670599443518</v>
      </c>
      <c r="D7" s="38">
        <v>78.181503507960372</v>
      </c>
      <c r="E7" s="38">
        <v>101.89646931841362</v>
      </c>
      <c r="F7" s="38">
        <v>102.20610602169137</v>
      </c>
      <c r="G7" s="38">
        <v>98.673506112066832</v>
      </c>
      <c r="H7" s="38">
        <v>100.63427346606312</v>
      </c>
      <c r="I7" s="38">
        <v>102.68402273683587</v>
      </c>
      <c r="J7" s="38">
        <v>95.859084586038662</v>
      </c>
      <c r="K7" s="38">
        <v>96.458191789875954</v>
      </c>
      <c r="L7" s="38">
        <v>96.387541359093674</v>
      </c>
      <c r="M7" s="38">
        <v>100.8395399000355</v>
      </c>
      <c r="N7" s="38">
        <v>99.485862024395757</v>
      </c>
      <c r="O7" s="38">
        <v>98.187888330217575</v>
      </c>
      <c r="P7" s="38">
        <v>102.67704128754454</v>
      </c>
      <c r="Q7" s="38">
        <v>99.090211515019647</v>
      </c>
      <c r="R7" s="38">
        <v>99.463925726231096</v>
      </c>
    </row>
    <row r="8" spans="1:18" x14ac:dyDescent="0.25">
      <c r="A8" s="50" t="s">
        <v>426</v>
      </c>
      <c r="B8" s="38">
        <v>100</v>
      </c>
      <c r="C8" s="38">
        <v>100.22338735984232</v>
      </c>
      <c r="D8" s="38">
        <v>103.70865472727486</v>
      </c>
      <c r="E8" s="38">
        <v>99.335977341757712</v>
      </c>
      <c r="F8" s="38">
        <v>100.49971337396349</v>
      </c>
      <c r="G8" s="38">
        <v>98.16576625917935</v>
      </c>
      <c r="H8" s="38">
        <v>105.92904102587083</v>
      </c>
      <c r="I8" s="38">
        <v>104.9927285563672</v>
      </c>
      <c r="J8" s="38">
        <v>97.921752372899533</v>
      </c>
      <c r="K8" s="38">
        <v>98.782956275065843</v>
      </c>
      <c r="L8" s="38">
        <v>102.25830908835826</v>
      </c>
      <c r="M8" s="38">
        <v>102.18989541748041</v>
      </c>
      <c r="N8" s="38">
        <v>102.55884058345349</v>
      </c>
      <c r="O8" s="38">
        <v>101.99707032563403</v>
      </c>
      <c r="P8" s="38">
        <v>99.299276710648044</v>
      </c>
      <c r="Q8" s="38">
        <v>101.01850122023524</v>
      </c>
      <c r="R8" s="38">
        <v>103.71444846541704</v>
      </c>
    </row>
    <row r="9" spans="1:18" x14ac:dyDescent="0.25">
      <c r="A9" s="50" t="s">
        <v>427</v>
      </c>
      <c r="B9" s="38">
        <v>100</v>
      </c>
      <c r="C9" s="38">
        <v>100.5107827134356</v>
      </c>
      <c r="D9" s="38">
        <v>102.21629755755258</v>
      </c>
      <c r="E9" s="38">
        <v>94.498631410793578</v>
      </c>
      <c r="F9" s="38">
        <v>101.02329200079821</v>
      </c>
      <c r="G9" s="38">
        <v>98.401900942631841</v>
      </c>
      <c r="H9" s="38">
        <v>105.98251632935872</v>
      </c>
      <c r="I9" s="38">
        <v>105.29137313523698</v>
      </c>
      <c r="J9" s="38">
        <v>98.426873326925048</v>
      </c>
      <c r="K9" s="38">
        <v>99.115070520692058</v>
      </c>
      <c r="L9" s="38">
        <v>101.19809812618102</v>
      </c>
      <c r="M9" s="38">
        <v>103.58472566217928</v>
      </c>
      <c r="N9" s="38">
        <v>105.205488307843</v>
      </c>
      <c r="O9" s="38">
        <v>104.82031309785495</v>
      </c>
      <c r="P9" s="38">
        <v>99.182519177574534</v>
      </c>
      <c r="Q9" s="38">
        <v>104.99728661402364</v>
      </c>
      <c r="R9" s="38">
        <v>100.70219241766311</v>
      </c>
    </row>
    <row r="10" spans="1:18" x14ac:dyDescent="0.25">
      <c r="A10" s="50" t="s">
        <v>428</v>
      </c>
      <c r="B10" s="38">
        <v>100</v>
      </c>
      <c r="C10" s="55">
        <v>99.799477506172025</v>
      </c>
      <c r="D10" s="55">
        <v>92.342059299076567</v>
      </c>
      <c r="E10" s="38">
        <v>98.766714175132407</v>
      </c>
      <c r="F10" s="38">
        <v>101.31261442749768</v>
      </c>
      <c r="G10" s="38">
        <v>98.413724437959345</v>
      </c>
      <c r="H10" s="38">
        <v>103.58769440006472</v>
      </c>
      <c r="I10" s="38">
        <v>104.32270814281334</v>
      </c>
      <c r="J10" s="38">
        <v>97.455793733537718</v>
      </c>
      <c r="K10" s="38">
        <v>98.087604185040007</v>
      </c>
      <c r="L10" s="38">
        <v>99.802208410390179</v>
      </c>
      <c r="M10" s="38">
        <v>102.04280278440704</v>
      </c>
      <c r="N10" s="38">
        <v>102.41673030523074</v>
      </c>
      <c r="O10" s="38">
        <v>101.48418989657893</v>
      </c>
      <c r="P10" s="38">
        <v>100.38627905858904</v>
      </c>
      <c r="Q10" s="38">
        <v>101.59902206962626</v>
      </c>
      <c r="R10" s="38">
        <v>101.25599897003006</v>
      </c>
    </row>
    <row r="11" spans="1:18" x14ac:dyDescent="0.25">
      <c r="A11" s="51" t="s">
        <v>429</v>
      </c>
      <c r="B11" s="38">
        <v>100</v>
      </c>
      <c r="C11" s="38">
        <v>99.878498929388002</v>
      </c>
      <c r="D11" s="38">
        <v>69.233981783602786</v>
      </c>
      <c r="E11" s="38">
        <v>104.41674420518996</v>
      </c>
      <c r="F11" s="38">
        <v>102.33558000219217</v>
      </c>
      <c r="G11" s="38">
        <v>99.987032929517838</v>
      </c>
      <c r="H11" s="38">
        <v>100.24153130941153</v>
      </c>
      <c r="I11" s="38">
        <v>100.40403854469135</v>
      </c>
      <c r="J11" s="38">
        <v>100.55889505671279</v>
      </c>
      <c r="K11" s="38">
        <v>96.579276143567256</v>
      </c>
      <c r="L11" s="38">
        <v>95.726810181794519</v>
      </c>
      <c r="M11" s="38">
        <v>105.17686090337504</v>
      </c>
      <c r="N11" s="38">
        <v>98.130513896523397</v>
      </c>
      <c r="O11" s="38">
        <v>97.821846399337417</v>
      </c>
      <c r="P11" s="38">
        <v>102.15212592972406</v>
      </c>
      <c r="Q11" s="38">
        <v>98.371873871138533</v>
      </c>
      <c r="R11" s="38">
        <v>100.3690806452063</v>
      </c>
    </row>
    <row r="12" spans="1:18" ht="13" x14ac:dyDescent="0.25">
      <c r="A12" s="69" t="s">
        <v>378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1:18" x14ac:dyDescent="0.25">
      <c r="A13" s="50" t="s">
        <v>430</v>
      </c>
      <c r="B13" s="34">
        <v>100</v>
      </c>
      <c r="C13" s="38">
        <v>98.0144004207839</v>
      </c>
      <c r="D13" s="38">
        <v>64.604173164988708</v>
      </c>
      <c r="E13" s="38">
        <v>99.690954132547063</v>
      </c>
      <c r="F13" s="38">
        <v>111.56523375715662</v>
      </c>
      <c r="G13" s="38">
        <v>96.391664598261599</v>
      </c>
      <c r="H13" s="38">
        <v>102.98997751122022</v>
      </c>
      <c r="I13" s="38">
        <v>98.642678910719241</v>
      </c>
      <c r="J13" s="38">
        <v>86.689597224263693</v>
      </c>
      <c r="K13" s="38">
        <v>87.186391300780173</v>
      </c>
      <c r="L13" s="38">
        <v>104.50455252571571</v>
      </c>
      <c r="M13" s="38">
        <v>89.976238569440298</v>
      </c>
      <c r="N13" s="38">
        <v>99.798677623327308</v>
      </c>
      <c r="O13" s="38">
        <v>93.453481112630627</v>
      </c>
      <c r="P13" s="38">
        <v>111.53094623835555</v>
      </c>
      <c r="Q13" s="38">
        <v>103.20450968802884</v>
      </c>
      <c r="R13" s="38">
        <v>96.360994709806803</v>
      </c>
    </row>
    <row r="14" spans="1:18" x14ac:dyDescent="0.25">
      <c r="A14" s="48" t="s">
        <v>431</v>
      </c>
      <c r="B14" s="38">
        <v>100</v>
      </c>
      <c r="C14" s="38">
        <v>100.49049194648769</v>
      </c>
      <c r="D14" s="38">
        <v>63.278389619507777</v>
      </c>
      <c r="E14" s="38">
        <v>100.97438820531525</v>
      </c>
      <c r="F14" s="38">
        <v>103.58009412538689</v>
      </c>
      <c r="G14" s="38">
        <v>102.39325610936874</v>
      </c>
      <c r="H14" s="38">
        <v>102.68240241776221</v>
      </c>
      <c r="I14" s="38">
        <v>101.43488329562082</v>
      </c>
      <c r="J14" s="38">
        <v>106.11203601468861</v>
      </c>
      <c r="K14" s="38">
        <v>99.114241803982267</v>
      </c>
      <c r="L14" s="38">
        <v>96.34724872816588</v>
      </c>
      <c r="M14" s="38">
        <v>98.407683837437162</v>
      </c>
      <c r="N14" s="38">
        <v>99.88836666844648</v>
      </c>
      <c r="O14" s="38">
        <v>96.992604766426496</v>
      </c>
      <c r="P14" s="38">
        <v>94.509095789336442</v>
      </c>
      <c r="Q14" s="38">
        <v>97.242688992137516</v>
      </c>
      <c r="R14" s="38">
        <v>98.508967508796289</v>
      </c>
    </row>
    <row r="15" spans="1:18" x14ac:dyDescent="0.25">
      <c r="A15" s="79" t="s">
        <v>381</v>
      </c>
      <c r="B15" s="44">
        <f>65+7.33</f>
        <v>72.33</v>
      </c>
      <c r="C15" s="44">
        <f>65+7.409638702621</f>
        <v>72.409638702620995</v>
      </c>
      <c r="D15" s="44">
        <f>65+6.39399613284064</f>
        <v>71.393996132840641</v>
      </c>
      <c r="E15" s="44">
        <f>65+8.34214285196602</f>
        <v>73.342142851966017</v>
      </c>
      <c r="F15" s="44">
        <f>65+6.91204303330514</f>
        <v>71.912043033305139</v>
      </c>
      <c r="G15" s="44">
        <f>65+7.22937795248016</f>
        <v>72.229377952480164</v>
      </c>
      <c r="H15" s="44">
        <f>65+6.82185838748624</f>
        <v>71.821858387486245</v>
      </c>
      <c r="I15" s="44">
        <f>65+6.35109747043252</f>
        <v>71.351097470432521</v>
      </c>
      <c r="J15" s="44">
        <f>65+7.52265008039771</f>
        <v>72.52265008039771</v>
      </c>
      <c r="K15" s="44">
        <f>65+7.77194486355313</f>
        <v>72.771944863553131</v>
      </c>
      <c r="L15" s="44">
        <f>65+7.50414124638945</f>
        <v>72.504141246389452</v>
      </c>
      <c r="M15" s="44">
        <f>65+10.2376028195454</f>
        <v>75.237602819545401</v>
      </c>
      <c r="N15" s="44">
        <f>65+6.38737795248015</f>
        <v>71.387377952480151</v>
      </c>
      <c r="O15" s="44">
        <f>65+7.81494556194106</f>
        <v>72.814945561941059</v>
      </c>
      <c r="P15" s="44">
        <f>65+7.8233779524802</f>
        <v>72.8233779524802</v>
      </c>
      <c r="Q15" s="44">
        <f>65+7.46739938792891</f>
        <v>72.467399387928907</v>
      </c>
      <c r="R15" s="44">
        <f>65+8.49164122284515</f>
        <v>73.491641222845146</v>
      </c>
    </row>
    <row r="16" spans="1:18" x14ac:dyDescent="0.25">
      <c r="A16" s="48" t="s">
        <v>432</v>
      </c>
      <c r="B16" s="38">
        <v>100</v>
      </c>
      <c r="C16" s="38">
        <v>97.612771518421738</v>
      </c>
      <c r="D16" s="38">
        <v>83.195901573702145</v>
      </c>
      <c r="E16" s="38">
        <v>106.42114297345016</v>
      </c>
      <c r="F16" s="38">
        <v>101.43980094501768</v>
      </c>
      <c r="G16" s="38">
        <v>95.178103113310911</v>
      </c>
      <c r="H16" s="38">
        <v>96.303433372411519</v>
      </c>
      <c r="I16" s="38">
        <v>100.01012478946119</v>
      </c>
      <c r="J16" s="38">
        <v>89.43668800405986</v>
      </c>
      <c r="K16" s="38">
        <v>88.376985631506045</v>
      </c>
      <c r="L16" s="38">
        <v>94.736783544128045</v>
      </c>
      <c r="M16" s="38">
        <v>108.09571555373392</v>
      </c>
      <c r="N16" s="38">
        <v>97.44233190116438</v>
      </c>
      <c r="O16" s="38">
        <v>96.81826454608121</v>
      </c>
      <c r="P16" s="38">
        <v>117.71474601687642</v>
      </c>
      <c r="Q16" s="38">
        <v>102.9674396612936</v>
      </c>
      <c r="R16" s="38">
        <v>102.38036032520529</v>
      </c>
    </row>
    <row r="17" spans="1:18" x14ac:dyDescent="0.25">
      <c r="A17" s="111" t="s">
        <v>433</v>
      </c>
      <c r="B17" s="44">
        <f>65+4.3690848764394</f>
        <v>69.369084876439402</v>
      </c>
      <c r="C17" s="44">
        <f>65+5.0035249367075</f>
        <v>70.003524936707493</v>
      </c>
      <c r="D17" s="44">
        <f>65+3.61474789966603</f>
        <v>68.614747899666028</v>
      </c>
      <c r="E17" s="44">
        <f>65+5.45755303375105</f>
        <v>70.457553033751054</v>
      </c>
      <c r="F17" s="44">
        <f>65+3.95371067242178</f>
        <v>68.953710672421778</v>
      </c>
      <c r="G17" s="44">
        <f>65+4.42227889539021</f>
        <v>69.422278895390207</v>
      </c>
      <c r="H17" s="44">
        <f>65+5.38815020792154</f>
        <v>70.388150207921541</v>
      </c>
      <c r="I17" s="44">
        <f>65+4.97347225990592</f>
        <v>69.973472259905918</v>
      </c>
      <c r="J17" s="44">
        <f>65+4.70858573224523</f>
        <v>69.708585732245226</v>
      </c>
      <c r="K17" s="44">
        <f>65+6.54711121806957</f>
        <v>71.547111218069574</v>
      </c>
      <c r="L17" s="44">
        <f>65+3.65809134655842</f>
        <v>68.658091346558422</v>
      </c>
      <c r="M17" s="44">
        <f>65+5.92900946833345</f>
        <v>70.929009468333447</v>
      </c>
      <c r="N17" s="44">
        <f>65+4.30327889539021</f>
        <v>69.303278895390207</v>
      </c>
      <c r="O17" s="44">
        <f>65+5.33721690522209</f>
        <v>70.337216905222093</v>
      </c>
      <c r="P17" s="44">
        <f>65+2.27127889539018</f>
        <v>67.271278895390182</v>
      </c>
      <c r="Q17" s="44">
        <f>65+2.29568283089303</f>
        <v>67.295682830893028</v>
      </c>
      <c r="R17" s="44">
        <f>65+3.62809760375059</f>
        <v>68.628097603750589</v>
      </c>
    </row>
    <row r="18" spans="1:18" x14ac:dyDescent="0.25">
      <c r="A18" s="48" t="s">
        <v>434</v>
      </c>
      <c r="B18" s="38">
        <v>100</v>
      </c>
      <c r="C18" s="38">
        <v>99.994260700020021</v>
      </c>
      <c r="D18" s="38">
        <v>96.344372780301981</v>
      </c>
      <c r="E18" s="38">
        <v>100.71659754687593</v>
      </c>
      <c r="F18" s="38">
        <v>98.359079632541011</v>
      </c>
      <c r="G18" s="38">
        <v>97.336066698872159</v>
      </c>
      <c r="H18" s="38">
        <v>100.35204074277431</v>
      </c>
      <c r="I18" s="38">
        <v>107.43434972677754</v>
      </c>
      <c r="J18" s="38">
        <v>90.723009428573349</v>
      </c>
      <c r="K18" s="38">
        <v>101.1073583145137</v>
      </c>
      <c r="L18" s="38">
        <v>95.188116630583735</v>
      </c>
      <c r="M18" s="38">
        <v>101.70382314172919</v>
      </c>
      <c r="N18" s="38">
        <v>100.31429218838426</v>
      </c>
      <c r="O18" s="38">
        <v>102.13216981893309</v>
      </c>
      <c r="P18" s="38">
        <v>99.542519656180403</v>
      </c>
      <c r="Q18" s="38">
        <v>97.648169649053472</v>
      </c>
      <c r="R18" s="38">
        <v>99.380393141077761</v>
      </c>
    </row>
    <row r="19" spans="1:18" ht="13" x14ac:dyDescent="0.25">
      <c r="A19" s="53" t="s">
        <v>239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</row>
    <row r="20" spans="1:18" x14ac:dyDescent="0.25">
      <c r="A20" s="48" t="s">
        <v>386</v>
      </c>
      <c r="B20" s="38">
        <v>62.5759434798128</v>
      </c>
      <c r="C20" s="38">
        <v>63.187134063167562</v>
      </c>
      <c r="D20" s="38">
        <v>82.891541789486368</v>
      </c>
      <c r="E20" s="38">
        <v>62.031340864855856</v>
      </c>
      <c r="F20" s="38">
        <v>61.482412405949262</v>
      </c>
      <c r="G20" s="38">
        <v>63.257555536114886</v>
      </c>
      <c r="H20" s="38">
        <v>66.549795572336478</v>
      </c>
      <c r="I20" s="38">
        <v>67.198848266574402</v>
      </c>
      <c r="J20" s="38">
        <v>69.52685553611488</v>
      </c>
      <c r="K20" s="38">
        <v>65.795224122595428</v>
      </c>
      <c r="L20" s="38">
        <v>61.917768278156721</v>
      </c>
      <c r="M20" s="38">
        <v>62.426803620390146</v>
      </c>
      <c r="N20" s="38">
        <v>61.008655536114901</v>
      </c>
      <c r="O20" s="38">
        <v>65.547615913375026</v>
      </c>
      <c r="P20" s="38">
        <v>55.964955536114886</v>
      </c>
      <c r="Q20" s="38">
        <v>58.356088122417624</v>
      </c>
      <c r="R20" s="38">
        <v>58.634989223705233</v>
      </c>
    </row>
    <row r="21" spans="1:18" x14ac:dyDescent="0.25">
      <c r="A21" s="48" t="s">
        <v>435</v>
      </c>
      <c r="B21" s="38">
        <v>56.269460360823373</v>
      </c>
      <c r="C21" s="38">
        <v>58.350011603277039</v>
      </c>
      <c r="D21" s="38">
        <v>81.825590816313508</v>
      </c>
      <c r="E21" s="38">
        <v>53.702373712348489</v>
      </c>
      <c r="F21" s="38">
        <v>55.728475124229703</v>
      </c>
      <c r="G21" s="38">
        <v>57.476953386456621</v>
      </c>
      <c r="H21" s="38">
        <v>67.300621291936395</v>
      </c>
      <c r="I21" s="38">
        <v>62.369016339666388</v>
      </c>
      <c r="J21" s="38">
        <v>59.727044295547529</v>
      </c>
      <c r="K21" s="38">
        <v>63.501401023283364</v>
      </c>
      <c r="L21" s="38">
        <v>58.258132028428598</v>
      </c>
      <c r="M21" s="38">
        <v>55.851393825571591</v>
      </c>
      <c r="N21" s="38">
        <v>57.831143101400428</v>
      </c>
      <c r="O21" s="38">
        <v>61.859723271943615</v>
      </c>
      <c r="P21" s="38">
        <v>48.218044295547529</v>
      </c>
      <c r="Q21" s="38">
        <v>54.31522680064819</v>
      </c>
      <c r="R21" s="38">
        <v>55.86570630081934</v>
      </c>
    </row>
    <row r="22" spans="1:18" x14ac:dyDescent="0.25">
      <c r="A22" s="50" t="s">
        <v>436</v>
      </c>
      <c r="B22" s="38">
        <v>100</v>
      </c>
      <c r="C22" s="38">
        <v>100.62787071233969</v>
      </c>
      <c r="D22" s="55" t="s">
        <v>18</v>
      </c>
      <c r="E22" s="38">
        <v>91.926429935222146</v>
      </c>
      <c r="F22" s="38">
        <v>103.50109089368964</v>
      </c>
      <c r="G22" s="38">
        <v>110.2386001433069</v>
      </c>
      <c r="H22" s="38" t="s">
        <v>459</v>
      </c>
      <c r="I22" s="55" t="s">
        <v>18</v>
      </c>
      <c r="J22" s="38">
        <v>90.956105968400195</v>
      </c>
      <c r="K22" s="38">
        <v>89.897959278673937</v>
      </c>
      <c r="L22" s="38">
        <v>82.217736797818532</v>
      </c>
      <c r="M22" s="38">
        <v>91.556701304715986</v>
      </c>
      <c r="N22" s="38">
        <v>122.90895147079283</v>
      </c>
      <c r="O22" s="38">
        <v>85.294192552352627</v>
      </c>
      <c r="P22" s="38">
        <v>91.393382719989162</v>
      </c>
      <c r="Q22" s="38">
        <v>105.5228766327714</v>
      </c>
      <c r="R22" s="38">
        <v>90.076804814121829</v>
      </c>
    </row>
    <row r="23" spans="1:18" x14ac:dyDescent="0.25">
      <c r="A23" s="47" t="s">
        <v>240</v>
      </c>
      <c r="B23" s="44">
        <v>7.400576607730323</v>
      </c>
      <c r="C23" s="44">
        <v>7.3795561970474122</v>
      </c>
      <c r="D23" s="44">
        <v>7.0713369043382812</v>
      </c>
      <c r="E23" s="44">
        <v>7.1373576820400677</v>
      </c>
      <c r="F23" s="44">
        <v>7.4617919578535306</v>
      </c>
      <c r="G23" s="44">
        <v>7.5037645829512387</v>
      </c>
      <c r="H23" s="44">
        <v>7.9267188822782506</v>
      </c>
      <c r="I23" s="44" t="s">
        <v>18</v>
      </c>
      <c r="J23" s="44">
        <v>7.4305038932656551</v>
      </c>
      <c r="K23" s="44">
        <v>7.3433007917231388</v>
      </c>
      <c r="L23" s="44">
        <v>7.5961478330766701</v>
      </c>
      <c r="M23" s="44">
        <v>7.4009901545984356</v>
      </c>
      <c r="N23" s="44">
        <v>7.5814524414950286</v>
      </c>
      <c r="O23" s="44">
        <v>7.2496697262214695</v>
      </c>
      <c r="P23" s="44">
        <v>7.5631614311404558</v>
      </c>
      <c r="Q23" s="44">
        <v>7.5433007917231381</v>
      </c>
      <c r="R23" s="44">
        <v>7.4711478855736591</v>
      </c>
    </row>
    <row r="24" spans="1:18" ht="13" x14ac:dyDescent="0.25">
      <c r="A24" s="69" t="s">
        <v>241</v>
      </c>
      <c r="B24" s="61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18" x14ac:dyDescent="0.25">
      <c r="A25" s="59" t="s">
        <v>242</v>
      </c>
      <c r="B25" s="60">
        <v>6.7666666666666684</v>
      </c>
      <c r="C25" s="44">
        <v>6.7</v>
      </c>
      <c r="D25" s="44">
        <v>8.9</v>
      </c>
      <c r="E25" s="60">
        <v>4.5</v>
      </c>
      <c r="F25" s="60">
        <v>7</v>
      </c>
      <c r="G25" s="60">
        <v>8.1</v>
      </c>
      <c r="H25" s="60">
        <v>8.6</v>
      </c>
      <c r="I25" s="60">
        <v>8.8000000000000007</v>
      </c>
      <c r="J25" s="44">
        <v>4.3</v>
      </c>
      <c r="K25" s="60">
        <v>6.7</v>
      </c>
      <c r="L25" s="44">
        <v>6.6</v>
      </c>
      <c r="M25" s="60">
        <v>5.3</v>
      </c>
      <c r="N25" s="60">
        <v>7.2</v>
      </c>
      <c r="O25" s="44">
        <v>8.6</v>
      </c>
      <c r="P25" s="60">
        <v>6</v>
      </c>
      <c r="Q25" s="60">
        <v>7.4</v>
      </c>
      <c r="R25" s="44">
        <v>2.2999999999999998</v>
      </c>
    </row>
    <row r="26" spans="1:18" x14ac:dyDescent="0.25">
      <c r="A26" s="59" t="s">
        <v>243</v>
      </c>
      <c r="B26" s="60">
        <v>5.1499999999999995</v>
      </c>
      <c r="C26" s="44">
        <v>5.12</v>
      </c>
      <c r="D26" s="60" t="s">
        <v>460</v>
      </c>
      <c r="E26" s="60">
        <v>4.7</v>
      </c>
      <c r="F26" s="60">
        <v>5.3</v>
      </c>
      <c r="G26" s="60">
        <v>5.2</v>
      </c>
      <c r="H26" s="60">
        <v>6.7</v>
      </c>
      <c r="I26" s="60">
        <v>6</v>
      </c>
      <c r="J26" s="60">
        <v>5.3</v>
      </c>
      <c r="K26" s="60">
        <v>5.9</v>
      </c>
      <c r="L26" s="60">
        <v>3.3</v>
      </c>
      <c r="M26" s="60">
        <v>6.7</v>
      </c>
      <c r="N26" s="60">
        <v>4.5</v>
      </c>
      <c r="O26" s="60">
        <v>6.8</v>
      </c>
      <c r="P26" s="60">
        <v>7</v>
      </c>
      <c r="Q26" s="60">
        <v>6.4</v>
      </c>
      <c r="R26" s="60">
        <v>6.1</v>
      </c>
    </row>
    <row r="27" spans="1:18" x14ac:dyDescent="0.25">
      <c r="A27" s="59" t="s">
        <v>244</v>
      </c>
      <c r="B27" s="60">
        <v>6.916666666666667</v>
      </c>
      <c r="C27" s="44">
        <v>7.4599999999999991</v>
      </c>
      <c r="D27" s="60" t="s">
        <v>343</v>
      </c>
      <c r="E27" s="60">
        <v>7.1</v>
      </c>
      <c r="F27" s="60">
        <v>7.6</v>
      </c>
      <c r="G27" s="60">
        <v>7.2</v>
      </c>
      <c r="H27" s="60">
        <v>7</v>
      </c>
      <c r="I27" s="60" t="s">
        <v>266</v>
      </c>
      <c r="J27" s="60">
        <v>7</v>
      </c>
      <c r="K27" s="60">
        <v>7.7</v>
      </c>
      <c r="L27" s="60">
        <v>8.3000000000000007</v>
      </c>
      <c r="M27" s="60">
        <v>7.2</v>
      </c>
      <c r="N27" s="60">
        <v>7.7</v>
      </c>
      <c r="O27" s="60">
        <v>7.1</v>
      </c>
      <c r="P27" s="60">
        <v>7</v>
      </c>
      <c r="Q27" s="60">
        <v>6.3</v>
      </c>
      <c r="R27" s="60">
        <v>7.3</v>
      </c>
    </row>
    <row r="28" spans="1:18" x14ac:dyDescent="0.25">
      <c r="A28" s="59" t="s">
        <v>392</v>
      </c>
      <c r="B28" s="60">
        <v>6.083333333333333</v>
      </c>
      <c r="C28" s="44">
        <v>6.1400000000000006</v>
      </c>
      <c r="D28" s="44" t="s">
        <v>461</v>
      </c>
      <c r="E28" s="60">
        <v>3.1</v>
      </c>
      <c r="F28" s="60">
        <v>7.3</v>
      </c>
      <c r="G28" s="60">
        <v>6.7</v>
      </c>
      <c r="H28" s="60" t="s">
        <v>462</v>
      </c>
      <c r="I28" s="60" t="s">
        <v>438</v>
      </c>
      <c r="J28" s="60">
        <v>6.9</v>
      </c>
      <c r="K28" s="60">
        <v>7.1</v>
      </c>
      <c r="L28" s="60">
        <v>7</v>
      </c>
      <c r="M28" s="60" t="s">
        <v>463</v>
      </c>
      <c r="N28" s="44">
        <v>6.5</v>
      </c>
      <c r="O28" s="60">
        <v>7.2</v>
      </c>
      <c r="P28" s="44">
        <v>7.2</v>
      </c>
      <c r="Q28" s="60">
        <v>7.1</v>
      </c>
      <c r="R28" s="60">
        <v>7.1</v>
      </c>
    </row>
    <row r="29" spans="1:18" x14ac:dyDescent="0.25">
      <c r="A29" s="59" t="s">
        <v>395</v>
      </c>
      <c r="B29" s="60">
        <v>6.4416666666666664</v>
      </c>
      <c r="C29" s="60">
        <v>6.9599999999999991</v>
      </c>
      <c r="D29" s="60" t="s">
        <v>18</v>
      </c>
      <c r="E29" s="60">
        <v>5.7</v>
      </c>
      <c r="F29" s="60">
        <v>6.75</v>
      </c>
      <c r="G29" s="60">
        <v>6.75</v>
      </c>
      <c r="H29" s="60" t="s">
        <v>18</v>
      </c>
      <c r="I29" s="60" t="s">
        <v>18</v>
      </c>
      <c r="J29" s="60">
        <v>6.7</v>
      </c>
      <c r="K29" s="60">
        <v>7.75</v>
      </c>
      <c r="L29" s="60" t="s">
        <v>18</v>
      </c>
      <c r="M29" s="60" t="s">
        <v>18</v>
      </c>
      <c r="N29" s="44">
        <v>7.85</v>
      </c>
      <c r="O29" s="60" t="s">
        <v>18</v>
      </c>
      <c r="P29" s="44">
        <v>6.6</v>
      </c>
      <c r="Q29" s="44">
        <v>7.1</v>
      </c>
      <c r="R29" s="60" t="s">
        <v>18</v>
      </c>
    </row>
    <row r="30" spans="1:18" ht="13" x14ac:dyDescent="0.25">
      <c r="A30" s="54" t="s">
        <v>245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44"/>
      <c r="O30" s="60"/>
      <c r="P30" s="44"/>
      <c r="Q30" s="44"/>
      <c r="R30" s="60"/>
    </row>
    <row r="31" spans="1:18" x14ac:dyDescent="0.25">
      <c r="A31" s="59" t="s">
        <v>246</v>
      </c>
      <c r="B31" s="39" t="s">
        <v>18</v>
      </c>
      <c r="C31" s="39" t="s">
        <v>18</v>
      </c>
      <c r="D31" s="39">
        <v>2024</v>
      </c>
      <c r="E31" s="61">
        <v>2002</v>
      </c>
      <c r="F31" s="39">
        <v>2014</v>
      </c>
      <c r="G31" s="61">
        <v>2005</v>
      </c>
      <c r="H31" s="39">
        <v>2023</v>
      </c>
      <c r="I31" s="39">
        <v>2026</v>
      </c>
      <c r="J31" s="61">
        <v>2008</v>
      </c>
      <c r="K31" s="39">
        <v>2018</v>
      </c>
      <c r="L31" s="39">
        <v>2020</v>
      </c>
      <c r="M31" s="39">
        <v>2022</v>
      </c>
      <c r="N31" s="39">
        <v>2012</v>
      </c>
      <c r="O31" s="39">
        <v>2021</v>
      </c>
      <c r="P31" s="39">
        <v>2011</v>
      </c>
      <c r="Q31" s="39">
        <v>2018</v>
      </c>
      <c r="R31" s="39">
        <v>2020</v>
      </c>
    </row>
    <row r="32" spans="1:18" ht="14" x14ac:dyDescent="0.25">
      <c r="A32" s="47" t="s">
        <v>247</v>
      </c>
      <c r="B32" s="39" t="s">
        <v>18</v>
      </c>
      <c r="C32" s="39" t="s">
        <v>18</v>
      </c>
      <c r="D32" s="57" t="s">
        <v>156</v>
      </c>
      <c r="E32" s="57" t="s">
        <v>151</v>
      </c>
      <c r="F32" s="57" t="s">
        <v>159</v>
      </c>
      <c r="G32" s="112" t="s">
        <v>165</v>
      </c>
      <c r="H32" s="112" t="s">
        <v>165</v>
      </c>
      <c r="I32" s="112" t="s">
        <v>165</v>
      </c>
      <c r="J32" s="57" t="s">
        <v>156</v>
      </c>
      <c r="K32" s="57" t="s">
        <v>148</v>
      </c>
      <c r="L32" s="57" t="s">
        <v>159</v>
      </c>
      <c r="M32" s="57" t="s">
        <v>151</v>
      </c>
      <c r="N32" s="112" t="s">
        <v>165</v>
      </c>
      <c r="O32" s="112" t="s">
        <v>165</v>
      </c>
      <c r="P32" s="57" t="s">
        <v>151</v>
      </c>
      <c r="Q32" s="57" t="s">
        <v>156</v>
      </c>
      <c r="R32" s="57" t="s">
        <v>151</v>
      </c>
    </row>
    <row r="33" spans="1:18" ht="14" x14ac:dyDescent="0.25">
      <c r="A33" s="47" t="s">
        <v>248</v>
      </c>
      <c r="B33" s="39"/>
      <c r="C33" s="39" t="s">
        <v>18</v>
      </c>
      <c r="D33" s="57" t="s">
        <v>156</v>
      </c>
      <c r="E33" s="57" t="s">
        <v>267</v>
      </c>
      <c r="F33" s="57" t="s">
        <v>159</v>
      </c>
      <c r="G33" s="57" t="s">
        <v>289</v>
      </c>
      <c r="H33" s="57" t="s">
        <v>156</v>
      </c>
      <c r="I33" s="112" t="s">
        <v>162</v>
      </c>
      <c r="J33" s="57" t="s">
        <v>156</v>
      </c>
      <c r="K33" s="57" t="s">
        <v>249</v>
      </c>
      <c r="L33" s="57" t="s">
        <v>159</v>
      </c>
      <c r="M33" s="57" t="s">
        <v>267</v>
      </c>
      <c r="N33" s="112" t="s">
        <v>162</v>
      </c>
      <c r="O33" s="112" t="s">
        <v>162</v>
      </c>
      <c r="P33" s="57" t="s">
        <v>267</v>
      </c>
      <c r="Q33" s="57" t="s">
        <v>156</v>
      </c>
      <c r="R33" s="57" t="s">
        <v>267</v>
      </c>
    </row>
    <row r="34" spans="1:18" ht="13" x14ac:dyDescent="0.25">
      <c r="A34" s="53" t="s">
        <v>250</v>
      </c>
      <c r="B34" s="39" t="s">
        <v>18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</row>
    <row r="35" spans="1:18" x14ac:dyDescent="0.25">
      <c r="A35" s="47" t="s">
        <v>397</v>
      </c>
      <c r="B35" s="39" t="s">
        <v>18</v>
      </c>
      <c r="C35" s="39" t="s">
        <v>18</v>
      </c>
      <c r="D35" s="39" t="s">
        <v>18</v>
      </c>
      <c r="E35" s="61">
        <v>11</v>
      </c>
      <c r="F35" s="61">
        <v>5</v>
      </c>
      <c r="G35" s="61">
        <v>5</v>
      </c>
      <c r="H35" s="61">
        <v>2</v>
      </c>
      <c r="I35" s="39" t="s">
        <v>18</v>
      </c>
      <c r="J35" s="61">
        <v>5</v>
      </c>
      <c r="K35" s="61">
        <v>4</v>
      </c>
      <c r="L35" s="61">
        <v>4</v>
      </c>
      <c r="M35" s="61">
        <v>4</v>
      </c>
      <c r="N35" s="61">
        <v>6</v>
      </c>
      <c r="O35" s="61">
        <v>4</v>
      </c>
      <c r="P35" s="61">
        <v>5</v>
      </c>
      <c r="Q35" s="61">
        <v>4</v>
      </c>
      <c r="R35" s="61">
        <v>4</v>
      </c>
    </row>
    <row r="36" spans="1:18" x14ac:dyDescent="0.25">
      <c r="A36" s="47" t="s">
        <v>251</v>
      </c>
      <c r="B36" s="39" t="s">
        <v>18</v>
      </c>
      <c r="C36" s="39" t="s">
        <v>18</v>
      </c>
      <c r="D36" s="39">
        <v>9</v>
      </c>
      <c r="E36" s="61">
        <v>28</v>
      </c>
      <c r="F36" s="61">
        <v>20</v>
      </c>
      <c r="G36" s="61">
        <v>10</v>
      </c>
      <c r="H36" s="61">
        <v>12</v>
      </c>
      <c r="I36" s="61">
        <v>5</v>
      </c>
      <c r="J36" s="61">
        <v>9</v>
      </c>
      <c r="K36" s="61">
        <v>11</v>
      </c>
      <c r="L36" s="61">
        <v>12</v>
      </c>
      <c r="M36" s="61">
        <v>13</v>
      </c>
      <c r="N36" s="61">
        <v>10</v>
      </c>
      <c r="O36" s="61">
        <v>13</v>
      </c>
      <c r="P36" s="61">
        <v>10</v>
      </c>
      <c r="Q36" s="61">
        <v>11</v>
      </c>
      <c r="R36" s="61">
        <v>12</v>
      </c>
    </row>
    <row r="37" spans="1:18" x14ac:dyDescent="0.25">
      <c r="A37" s="47" t="s">
        <v>252</v>
      </c>
      <c r="B37" s="39" t="s">
        <v>18</v>
      </c>
      <c r="C37" s="39" t="s">
        <v>18</v>
      </c>
      <c r="D37" s="39">
        <v>6</v>
      </c>
      <c r="E37" s="39">
        <v>26</v>
      </c>
      <c r="F37" s="39">
        <v>17</v>
      </c>
      <c r="G37" s="39">
        <v>10</v>
      </c>
      <c r="H37" s="39">
        <v>9</v>
      </c>
      <c r="I37" s="39">
        <v>5</v>
      </c>
      <c r="J37" s="39">
        <v>10</v>
      </c>
      <c r="K37" s="39">
        <v>11</v>
      </c>
      <c r="L37" s="39">
        <v>11</v>
      </c>
      <c r="M37" s="39">
        <v>12</v>
      </c>
      <c r="N37" s="39">
        <v>10</v>
      </c>
      <c r="O37" s="39">
        <v>12</v>
      </c>
      <c r="P37" s="39">
        <v>10</v>
      </c>
      <c r="Q37" s="39">
        <v>11</v>
      </c>
      <c r="R37" s="39">
        <v>11</v>
      </c>
    </row>
    <row r="38" spans="1:18" x14ac:dyDescent="0.25">
      <c r="A38" s="47" t="s">
        <v>253</v>
      </c>
      <c r="B38" s="39" t="s">
        <v>18</v>
      </c>
      <c r="C38" s="39" t="s">
        <v>18</v>
      </c>
      <c r="D38" s="39">
        <v>6</v>
      </c>
      <c r="E38" s="61">
        <v>24</v>
      </c>
      <c r="F38" s="61">
        <v>14</v>
      </c>
      <c r="G38" s="61">
        <v>10</v>
      </c>
      <c r="H38" s="61">
        <v>6</v>
      </c>
      <c r="I38" s="61">
        <v>5</v>
      </c>
      <c r="J38" s="61">
        <v>10</v>
      </c>
      <c r="K38" s="61">
        <v>10</v>
      </c>
      <c r="L38" s="61">
        <v>10</v>
      </c>
      <c r="M38" s="61">
        <v>9</v>
      </c>
      <c r="N38" s="61">
        <v>10</v>
      </c>
      <c r="O38" s="61">
        <v>11</v>
      </c>
      <c r="P38" s="61">
        <v>10</v>
      </c>
      <c r="Q38" s="61">
        <v>10</v>
      </c>
      <c r="R38" s="61">
        <v>10</v>
      </c>
    </row>
    <row r="39" spans="1:18" x14ac:dyDescent="0.25">
      <c r="A39" s="94" t="s">
        <v>440</v>
      </c>
      <c r="B39" s="143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</row>
    <row r="40" spans="1:18" x14ac:dyDescent="0.25">
      <c r="A40" s="94" t="s">
        <v>441</v>
      </c>
      <c r="B40" s="14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</row>
    <row r="41" spans="1:18" ht="13" x14ac:dyDescent="0.3">
      <c r="A41" s="94" t="s">
        <v>258</v>
      </c>
      <c r="B41" s="114"/>
      <c r="C41" s="113"/>
      <c r="D41" s="113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</row>
    <row r="42" spans="1:18" x14ac:dyDescent="0.25">
      <c r="A42" s="94" t="s">
        <v>442</v>
      </c>
      <c r="B42" s="113"/>
      <c r="C42" s="191"/>
      <c r="D42" s="191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</row>
    <row r="43" spans="1:18" ht="13" x14ac:dyDescent="0.3">
      <c r="A43" s="115" t="s">
        <v>259</v>
      </c>
      <c r="B43" s="116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</row>
    <row r="44" spans="1:18" ht="13" x14ac:dyDescent="0.3">
      <c r="B44" s="117"/>
    </row>
    <row r="45" spans="1:18" x14ac:dyDescent="0.25">
      <c r="B45" s="175"/>
    </row>
    <row r="46" spans="1:18" x14ac:dyDescent="0.25">
      <c r="B46" s="175"/>
    </row>
  </sheetData>
  <sheetProtection algorithmName="SHA-512" hashValue="Ib8N+E23wRBNv17BMbyEhpGLyx+uy37qNWVRaa/v5uxUt5CpY0TgB6CIgZ0yj2ut98sXocj3C/OqpATad/LC0g==" saltValue="isq/ynEp05vStuflv3z7ww==" spinCount="100000" sheet="1" objects="1" scenarios="1"/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Q45"/>
  <sheetViews>
    <sheetView zoomScale="90" zoomScaleNormal="90" workbookViewId="0">
      <selection activeCell="B28" sqref="B28"/>
    </sheetView>
  </sheetViews>
  <sheetFormatPr defaultColWidth="9.26953125" defaultRowHeight="12.5" x14ac:dyDescent="0.25"/>
  <cols>
    <col min="1" max="1" width="146.81640625" bestFit="1" customWidth="1"/>
    <col min="2" max="2" width="23.7265625" style="118" bestFit="1" customWidth="1"/>
    <col min="3" max="3" width="10.26953125" style="118" bestFit="1" customWidth="1"/>
    <col min="4" max="4" width="12.81640625" style="118" bestFit="1" customWidth="1"/>
    <col min="5" max="5" width="9.7265625" style="118" bestFit="1" customWidth="1"/>
    <col min="6" max="6" width="9.453125" style="118" bestFit="1" customWidth="1"/>
    <col min="7" max="7" width="10.1796875" style="118" bestFit="1" customWidth="1"/>
    <col min="8" max="8" width="12.54296875" style="118" bestFit="1" customWidth="1"/>
    <col min="9" max="9" width="13" style="118" bestFit="1" customWidth="1"/>
    <col min="10" max="10" width="6.7265625" customWidth="1"/>
  </cols>
  <sheetData>
    <row r="1" spans="1:15" ht="14" x14ac:dyDescent="0.3">
      <c r="A1" s="9" t="s">
        <v>464</v>
      </c>
      <c r="B1" s="109"/>
      <c r="C1" s="3"/>
      <c r="D1" s="2"/>
      <c r="E1" s="2"/>
      <c r="F1" s="3"/>
      <c r="G1" s="2"/>
      <c r="H1" s="2"/>
      <c r="I1" s="24"/>
    </row>
    <row r="2" spans="1:15" s="9" customFormat="1" ht="14" x14ac:dyDescent="0.3">
      <c r="B2" s="11"/>
      <c r="C2" s="11"/>
      <c r="D2" s="11"/>
      <c r="E2" s="11"/>
      <c r="F2" s="11"/>
      <c r="G2" s="11"/>
      <c r="H2" s="11"/>
      <c r="I2" s="11"/>
    </row>
    <row r="3" spans="1:15" ht="14" x14ac:dyDescent="0.25">
      <c r="A3" s="88" t="s">
        <v>464</v>
      </c>
      <c r="B3" s="88" t="s">
        <v>208</v>
      </c>
      <c r="C3" s="88" t="s">
        <v>465</v>
      </c>
      <c r="D3" s="88" t="s">
        <v>466</v>
      </c>
      <c r="E3" s="88" t="s">
        <v>467</v>
      </c>
      <c r="F3" s="88" t="s">
        <v>468</v>
      </c>
      <c r="G3" s="88" t="s">
        <v>469</v>
      </c>
      <c r="H3" s="88" t="s">
        <v>470</v>
      </c>
      <c r="I3" s="88" t="s">
        <v>471</v>
      </c>
    </row>
    <row r="4" spans="1:15" ht="13" x14ac:dyDescent="0.25">
      <c r="A4" s="69" t="s">
        <v>213</v>
      </c>
      <c r="B4" s="39" t="s">
        <v>18</v>
      </c>
      <c r="C4" s="32" t="s">
        <v>6</v>
      </c>
      <c r="D4" s="32" t="s">
        <v>9</v>
      </c>
      <c r="E4" s="32" t="s">
        <v>6</v>
      </c>
      <c r="F4" s="32" t="s">
        <v>6</v>
      </c>
      <c r="G4" s="32" t="s">
        <v>6</v>
      </c>
      <c r="H4" s="32" t="s">
        <v>6</v>
      </c>
      <c r="I4" s="32" t="s">
        <v>6</v>
      </c>
    </row>
    <row r="5" spans="1:15" ht="13" x14ac:dyDescent="0.3">
      <c r="A5" s="56" t="s">
        <v>214</v>
      </c>
      <c r="B5" s="55" t="s">
        <v>18</v>
      </c>
      <c r="C5" s="33">
        <v>159.80000000000001</v>
      </c>
      <c r="D5" s="33">
        <v>160.30000000000001</v>
      </c>
      <c r="E5" s="33">
        <v>160.34000000000003</v>
      </c>
      <c r="F5" s="33">
        <v>160.48000000000002</v>
      </c>
      <c r="G5" s="33">
        <v>45452</v>
      </c>
      <c r="H5" s="33">
        <v>45452</v>
      </c>
      <c r="I5" s="33">
        <v>164.83000000000175</v>
      </c>
      <c r="J5" s="176"/>
      <c r="K5" s="176"/>
      <c r="L5" s="176"/>
      <c r="M5" s="176"/>
      <c r="N5" s="176"/>
      <c r="O5" s="176"/>
    </row>
    <row r="6" spans="1:15" s="7" customFormat="1" ht="13" x14ac:dyDescent="0.25">
      <c r="A6" s="53" t="s">
        <v>472</v>
      </c>
      <c r="B6" s="34"/>
      <c r="C6" s="34"/>
      <c r="D6" s="34"/>
      <c r="E6" s="34"/>
      <c r="F6" s="34"/>
      <c r="G6" s="34"/>
      <c r="H6" s="34"/>
      <c r="I6" s="34"/>
    </row>
    <row r="7" spans="1:15" s="7" customFormat="1" x14ac:dyDescent="0.25">
      <c r="A7" s="48" t="s">
        <v>473</v>
      </c>
      <c r="B7" s="49">
        <v>100</v>
      </c>
      <c r="C7" s="49">
        <v>98</v>
      </c>
      <c r="D7" s="49">
        <v>95</v>
      </c>
      <c r="E7" s="49">
        <v>100</v>
      </c>
      <c r="F7" s="49">
        <v>101</v>
      </c>
      <c r="G7" s="49">
        <v>101</v>
      </c>
      <c r="H7" s="49">
        <v>96</v>
      </c>
      <c r="I7" s="49">
        <v>103</v>
      </c>
    </row>
    <row r="8" spans="1:15" s="7" customFormat="1" x14ac:dyDescent="0.25">
      <c r="A8" s="111" t="s">
        <v>217</v>
      </c>
      <c r="B8" s="126">
        <f>65+8.2</f>
        <v>73.2</v>
      </c>
      <c r="C8" s="126">
        <f>65+8.3</f>
        <v>73.3</v>
      </c>
      <c r="D8" s="126">
        <f>65+8.3</f>
        <v>73.3</v>
      </c>
      <c r="E8" s="126">
        <f>65+7.8</f>
        <v>72.8</v>
      </c>
      <c r="F8" s="126">
        <f>65+7.2</f>
        <v>72.2</v>
      </c>
      <c r="G8" s="126">
        <f>65+7.90000000000001</f>
        <v>72.900000000000006</v>
      </c>
      <c r="H8" s="126">
        <f>65+9.09999999999999</f>
        <v>74.099999999999994</v>
      </c>
      <c r="I8" s="126">
        <f>65+9.2</f>
        <v>74.2</v>
      </c>
    </row>
    <row r="9" spans="1:15" s="7" customFormat="1" x14ac:dyDescent="0.25">
      <c r="A9" s="111" t="s">
        <v>474</v>
      </c>
      <c r="B9" s="49">
        <v>100</v>
      </c>
      <c r="C9" s="49">
        <v>98</v>
      </c>
      <c r="D9" s="49">
        <v>95</v>
      </c>
      <c r="E9" s="49">
        <v>99</v>
      </c>
      <c r="F9" s="49">
        <v>100</v>
      </c>
      <c r="G9" s="49">
        <v>100</v>
      </c>
      <c r="H9" s="49">
        <v>98</v>
      </c>
      <c r="I9" s="49">
        <v>104</v>
      </c>
    </row>
    <row r="10" spans="1:15" s="7" customFormat="1" x14ac:dyDescent="0.25">
      <c r="A10" s="50" t="s">
        <v>219</v>
      </c>
      <c r="B10" s="38">
        <v>75.5</v>
      </c>
      <c r="C10" s="38">
        <v>72.8</v>
      </c>
      <c r="D10" s="38">
        <v>79.400000000000006</v>
      </c>
      <c r="E10" s="38">
        <v>77.099999999999994</v>
      </c>
      <c r="F10" s="38">
        <v>74.400000000000006</v>
      </c>
      <c r="G10" s="38">
        <v>74.599999999999994</v>
      </c>
      <c r="H10" s="38">
        <v>78.7</v>
      </c>
      <c r="I10" s="38">
        <v>75.599999999999994</v>
      </c>
    </row>
    <row r="11" spans="1:15" s="7" customFormat="1" ht="13" x14ac:dyDescent="0.25">
      <c r="A11" s="53" t="s">
        <v>220</v>
      </c>
      <c r="B11" s="34"/>
      <c r="C11" s="34"/>
      <c r="D11" s="34"/>
      <c r="E11" s="34"/>
      <c r="F11" s="34"/>
      <c r="G11" s="34"/>
      <c r="H11" s="34"/>
      <c r="I11" s="34"/>
    </row>
    <row r="12" spans="1:15" s="7" customFormat="1" x14ac:dyDescent="0.25">
      <c r="A12" s="48" t="s">
        <v>475</v>
      </c>
      <c r="B12" s="49">
        <v>100</v>
      </c>
      <c r="C12" s="49">
        <v>103</v>
      </c>
      <c r="D12" s="49">
        <v>99</v>
      </c>
      <c r="E12" s="49">
        <v>99</v>
      </c>
      <c r="F12" s="49">
        <v>102</v>
      </c>
      <c r="G12" s="49">
        <v>99</v>
      </c>
      <c r="H12" s="49">
        <v>100</v>
      </c>
      <c r="I12" s="49">
        <v>97</v>
      </c>
    </row>
    <row r="13" spans="1:15" s="7" customFormat="1" x14ac:dyDescent="0.25">
      <c r="A13" s="50" t="s">
        <v>476</v>
      </c>
      <c r="B13" s="38">
        <v>100</v>
      </c>
      <c r="C13" s="38">
        <v>103</v>
      </c>
      <c r="D13" s="38">
        <v>100</v>
      </c>
      <c r="E13" s="38">
        <v>99</v>
      </c>
      <c r="F13" s="38">
        <v>102</v>
      </c>
      <c r="G13" s="38">
        <v>97</v>
      </c>
      <c r="H13" s="38">
        <v>101</v>
      </c>
      <c r="I13" s="38">
        <v>98</v>
      </c>
    </row>
    <row r="14" spans="1:15" s="7" customFormat="1" x14ac:dyDescent="0.25">
      <c r="A14" s="48" t="s">
        <v>477</v>
      </c>
      <c r="B14" s="49">
        <v>100</v>
      </c>
      <c r="C14" s="49">
        <v>101</v>
      </c>
      <c r="D14" s="49">
        <v>97</v>
      </c>
      <c r="E14" s="49">
        <v>100</v>
      </c>
      <c r="F14" s="49">
        <v>100</v>
      </c>
      <c r="G14" s="49">
        <v>99</v>
      </c>
      <c r="H14" s="49">
        <v>99</v>
      </c>
      <c r="I14" s="49">
        <v>100</v>
      </c>
    </row>
    <row r="15" spans="1:15" s="7" customFormat="1" x14ac:dyDescent="0.25">
      <c r="A15" s="111" t="s">
        <v>478</v>
      </c>
      <c r="B15" s="49">
        <v>100</v>
      </c>
      <c r="C15" s="38">
        <v>102.09090909090909</v>
      </c>
      <c r="D15" s="38">
        <v>98.090909090909093</v>
      </c>
      <c r="E15" s="38">
        <v>99.454545454545453</v>
      </c>
      <c r="F15" s="38">
        <v>101.09090909090909</v>
      </c>
      <c r="G15" s="38">
        <v>99</v>
      </c>
      <c r="H15" s="38">
        <v>99.545454545454547</v>
      </c>
      <c r="I15" s="38">
        <v>98.36363636363636</v>
      </c>
    </row>
    <row r="16" spans="1:15" s="7" customFormat="1" x14ac:dyDescent="0.25">
      <c r="A16" s="50" t="s">
        <v>225</v>
      </c>
      <c r="B16" s="38">
        <v>76.400000000000006</v>
      </c>
      <c r="C16" s="38">
        <v>77.7</v>
      </c>
      <c r="D16" s="38">
        <v>80.3</v>
      </c>
      <c r="E16" s="38">
        <v>77.400000000000006</v>
      </c>
      <c r="F16" s="38">
        <v>74.099999999999994</v>
      </c>
      <c r="G16" s="38">
        <v>76</v>
      </c>
      <c r="H16" s="38">
        <v>79.599999999999994</v>
      </c>
      <c r="I16" s="38">
        <v>73.900000000000006</v>
      </c>
    </row>
    <row r="17" spans="1:43" s="178" customFormat="1" ht="13" x14ac:dyDescent="0.25">
      <c r="A17" s="53" t="s">
        <v>226</v>
      </c>
      <c r="B17" s="34"/>
      <c r="C17" s="34"/>
      <c r="D17" s="34"/>
      <c r="E17" s="34"/>
      <c r="F17" s="34"/>
      <c r="G17" s="34"/>
      <c r="H17" s="34"/>
      <c r="I17" s="34"/>
      <c r="J17" s="7"/>
      <c r="K17" s="7"/>
      <c r="L17" s="7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77"/>
    </row>
    <row r="18" spans="1:43" s="7" customFormat="1" x14ac:dyDescent="0.25">
      <c r="A18" s="48" t="s">
        <v>479</v>
      </c>
      <c r="B18" s="49">
        <v>100</v>
      </c>
      <c r="C18" s="49">
        <v>99</v>
      </c>
      <c r="D18" s="49">
        <v>81</v>
      </c>
      <c r="E18" s="49">
        <v>98</v>
      </c>
      <c r="F18" s="49">
        <v>104</v>
      </c>
      <c r="G18" s="49">
        <v>94</v>
      </c>
      <c r="H18" s="49">
        <v>90</v>
      </c>
      <c r="I18" s="49">
        <v>115</v>
      </c>
    </row>
    <row r="19" spans="1:43" s="7" customFormat="1" x14ac:dyDescent="0.25">
      <c r="A19" s="48" t="s">
        <v>480</v>
      </c>
      <c r="B19" s="49">
        <v>100</v>
      </c>
      <c r="C19" s="49">
        <v>98</v>
      </c>
      <c r="D19" s="49">
        <v>92</v>
      </c>
      <c r="E19" s="49">
        <v>94</v>
      </c>
      <c r="F19" s="49">
        <v>103</v>
      </c>
      <c r="G19" s="49">
        <v>102</v>
      </c>
      <c r="H19" s="49">
        <v>96</v>
      </c>
      <c r="I19" s="49">
        <v>107</v>
      </c>
    </row>
    <row r="20" spans="1:43" s="7" customFormat="1" x14ac:dyDescent="0.25">
      <c r="A20" s="48" t="s">
        <v>481</v>
      </c>
      <c r="B20" s="49">
        <v>100</v>
      </c>
      <c r="C20" s="49">
        <v>98</v>
      </c>
      <c r="D20" s="49">
        <v>98</v>
      </c>
      <c r="E20" s="49">
        <v>105</v>
      </c>
      <c r="F20" s="49">
        <v>100</v>
      </c>
      <c r="G20" s="49">
        <v>101</v>
      </c>
      <c r="H20" s="49">
        <v>96</v>
      </c>
      <c r="I20" s="49">
        <v>98</v>
      </c>
    </row>
    <row r="21" spans="1:43" s="7" customFormat="1" x14ac:dyDescent="0.25">
      <c r="A21" s="48" t="s">
        <v>482</v>
      </c>
      <c r="B21" s="49">
        <v>100</v>
      </c>
      <c r="C21" s="49">
        <v>98</v>
      </c>
      <c r="D21" s="49">
        <v>95</v>
      </c>
      <c r="E21" s="49">
        <v>99</v>
      </c>
      <c r="F21" s="49">
        <v>99</v>
      </c>
      <c r="G21" s="49">
        <v>101</v>
      </c>
      <c r="H21" s="49">
        <v>99</v>
      </c>
      <c r="I21" s="49">
        <v>105</v>
      </c>
    </row>
    <row r="22" spans="1:43" s="7" customFormat="1" x14ac:dyDescent="0.25">
      <c r="A22" s="48" t="s">
        <v>483</v>
      </c>
      <c r="B22" s="49">
        <v>100</v>
      </c>
      <c r="C22" s="49">
        <v>99</v>
      </c>
      <c r="D22" s="49">
        <v>92</v>
      </c>
      <c r="E22" s="49">
        <v>98</v>
      </c>
      <c r="F22" s="49">
        <v>103</v>
      </c>
      <c r="G22" s="49">
        <v>98</v>
      </c>
      <c r="H22" s="49">
        <v>95</v>
      </c>
      <c r="I22" s="49">
        <v>106</v>
      </c>
    </row>
    <row r="23" spans="1:43" s="181" customFormat="1" ht="13" x14ac:dyDescent="0.25">
      <c r="A23" s="129" t="s">
        <v>232</v>
      </c>
      <c r="B23" s="49"/>
      <c r="C23" s="49"/>
      <c r="D23" s="49"/>
      <c r="E23" s="49"/>
      <c r="F23" s="49"/>
      <c r="G23" s="49"/>
      <c r="H23" s="49"/>
      <c r="I23" s="4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80"/>
    </row>
    <row r="24" spans="1:43" s="7" customFormat="1" x14ac:dyDescent="0.25">
      <c r="A24" s="48" t="s">
        <v>484</v>
      </c>
      <c r="B24" s="49">
        <v>100</v>
      </c>
      <c r="C24" s="49">
        <v>107</v>
      </c>
      <c r="D24" s="49">
        <v>98</v>
      </c>
      <c r="E24" s="49">
        <v>98</v>
      </c>
      <c r="F24" s="49">
        <v>100</v>
      </c>
      <c r="G24" s="49">
        <v>96</v>
      </c>
      <c r="H24" s="49">
        <v>102</v>
      </c>
      <c r="I24" s="49">
        <v>97</v>
      </c>
    </row>
    <row r="25" spans="1:43" s="7" customFormat="1" x14ac:dyDescent="0.25">
      <c r="A25" s="111" t="s">
        <v>286</v>
      </c>
      <c r="B25" s="126">
        <f>65+2.1</f>
        <v>67.099999999999994</v>
      </c>
      <c r="C25" s="126">
        <f>65+1.5</f>
        <v>66.5</v>
      </c>
      <c r="D25" s="126">
        <f>65+2.7</f>
        <v>67.7</v>
      </c>
      <c r="E25" s="126">
        <f>65+2</f>
        <v>67</v>
      </c>
      <c r="F25" s="126">
        <f>65+2</f>
        <v>67</v>
      </c>
      <c r="G25" s="126">
        <f>65+1</f>
        <v>66</v>
      </c>
      <c r="H25" s="126">
        <f>65+2.09999999999999</f>
        <v>67.099999999999994</v>
      </c>
      <c r="I25" s="126">
        <f>65+4.09999999999999</f>
        <v>69.099999999999994</v>
      </c>
    </row>
    <row r="26" spans="1:43" s="7" customFormat="1" x14ac:dyDescent="0.25">
      <c r="A26" s="48" t="s">
        <v>485</v>
      </c>
      <c r="B26" s="49">
        <v>100</v>
      </c>
      <c r="C26" s="49">
        <v>99</v>
      </c>
      <c r="D26" s="49">
        <v>101</v>
      </c>
      <c r="E26" s="49">
        <v>101</v>
      </c>
      <c r="F26" s="49">
        <v>105</v>
      </c>
      <c r="G26" s="49">
        <v>102</v>
      </c>
      <c r="H26" s="49">
        <v>98</v>
      </c>
      <c r="I26" s="49">
        <v>95</v>
      </c>
    </row>
    <row r="27" spans="1:43" s="7" customFormat="1" x14ac:dyDescent="0.25">
      <c r="A27" s="111" t="s">
        <v>307</v>
      </c>
      <c r="B27" s="126">
        <f>65+1.6</f>
        <v>66.599999999999994</v>
      </c>
      <c r="C27" s="126">
        <f>65+0.900000000000006</f>
        <v>65.900000000000006</v>
      </c>
      <c r="D27" s="126">
        <f>65+2.3</f>
        <v>67.3</v>
      </c>
      <c r="E27" s="126">
        <f>65+1.40000000000001</f>
        <v>66.400000000000006</v>
      </c>
      <c r="F27" s="126">
        <f>65+0.599999999999994</f>
        <v>65.599999999999994</v>
      </c>
      <c r="G27" s="126">
        <f>65+0.400000000000006</f>
        <v>65.400000000000006</v>
      </c>
      <c r="H27" s="126">
        <f>65+2.8</f>
        <v>67.8</v>
      </c>
      <c r="I27" s="126">
        <f>65+3.3</f>
        <v>68.3</v>
      </c>
      <c r="J27" s="144"/>
    </row>
    <row r="28" spans="1:43" s="7" customFormat="1" x14ac:dyDescent="0.25">
      <c r="A28" s="48" t="s">
        <v>486</v>
      </c>
      <c r="B28" s="49">
        <v>100</v>
      </c>
      <c r="C28" s="49">
        <v>101</v>
      </c>
      <c r="D28" s="49">
        <v>98</v>
      </c>
      <c r="E28" s="49">
        <v>102</v>
      </c>
      <c r="F28" s="49">
        <v>105</v>
      </c>
      <c r="G28" s="49">
        <v>98</v>
      </c>
      <c r="H28" s="49">
        <v>97</v>
      </c>
      <c r="I28" s="49">
        <v>97</v>
      </c>
    </row>
    <row r="29" spans="1:43" s="7" customFormat="1" x14ac:dyDescent="0.25">
      <c r="A29" s="48" t="s">
        <v>487</v>
      </c>
      <c r="B29" s="49">
        <v>100</v>
      </c>
      <c r="C29" s="49">
        <v>99</v>
      </c>
      <c r="D29" s="49">
        <v>96</v>
      </c>
      <c r="E29" s="49">
        <v>95</v>
      </c>
      <c r="F29" s="49">
        <v>103</v>
      </c>
      <c r="G29" s="49">
        <v>101</v>
      </c>
      <c r="H29" s="49">
        <v>101</v>
      </c>
      <c r="I29" s="49">
        <v>101</v>
      </c>
    </row>
    <row r="30" spans="1:43" s="7" customFormat="1" ht="13" x14ac:dyDescent="0.25">
      <c r="A30" s="54" t="s">
        <v>239</v>
      </c>
      <c r="B30" s="126"/>
      <c r="C30" s="126"/>
      <c r="D30" s="126"/>
      <c r="E30" s="126"/>
      <c r="F30" s="126"/>
      <c r="G30" s="126"/>
      <c r="H30" s="126"/>
      <c r="I30" s="126"/>
    </row>
    <row r="31" spans="1:43" s="7" customFormat="1" x14ac:dyDescent="0.25">
      <c r="A31" s="47" t="s">
        <v>240</v>
      </c>
      <c r="B31" s="126">
        <v>7</v>
      </c>
      <c r="C31" s="126">
        <v>7.1</v>
      </c>
      <c r="D31" s="126">
        <v>6.6</v>
      </c>
      <c r="E31" s="126">
        <v>6.9</v>
      </c>
      <c r="F31" s="126">
        <v>7.3</v>
      </c>
      <c r="G31" s="126">
        <v>6.6</v>
      </c>
      <c r="H31" s="126">
        <v>6.7</v>
      </c>
      <c r="I31" s="133">
        <v>7</v>
      </c>
    </row>
    <row r="32" spans="1:43" s="7" customFormat="1" ht="13" x14ac:dyDescent="0.25">
      <c r="A32" s="54" t="s">
        <v>245</v>
      </c>
      <c r="B32" s="126"/>
      <c r="C32" s="126"/>
      <c r="D32" s="126"/>
      <c r="E32" s="126"/>
      <c r="F32" s="126"/>
      <c r="G32" s="126"/>
      <c r="H32" s="126"/>
      <c r="I32" s="133"/>
    </row>
    <row r="33" spans="1:43" s="7" customFormat="1" x14ac:dyDescent="0.25">
      <c r="A33" s="47" t="s">
        <v>246</v>
      </c>
      <c r="B33" s="134" t="s">
        <v>18</v>
      </c>
      <c r="C33" s="34">
        <v>2005</v>
      </c>
      <c r="D33" s="34">
        <v>1990</v>
      </c>
      <c r="E33" s="34">
        <v>2001</v>
      </c>
      <c r="F33" s="34">
        <v>2003</v>
      </c>
      <c r="G33" s="34">
        <v>1989</v>
      </c>
      <c r="H33" s="34">
        <v>2003</v>
      </c>
      <c r="I33" s="134">
        <v>2020</v>
      </c>
    </row>
    <row r="34" spans="1:43" s="7" customFormat="1" x14ac:dyDescent="0.25">
      <c r="A34" s="47" t="s">
        <v>247</v>
      </c>
      <c r="B34" s="134" t="s">
        <v>18</v>
      </c>
      <c r="C34" s="58" t="s">
        <v>159</v>
      </c>
      <c r="D34" s="152" t="s">
        <v>156</v>
      </c>
      <c r="E34" s="58" t="s">
        <v>416</v>
      </c>
      <c r="F34" s="58" t="s">
        <v>416</v>
      </c>
      <c r="G34" s="58" t="s">
        <v>156</v>
      </c>
      <c r="H34" s="58" t="s">
        <v>156</v>
      </c>
      <c r="I34" s="58" t="s">
        <v>249</v>
      </c>
    </row>
    <row r="35" spans="1:43" s="7" customFormat="1" x14ac:dyDescent="0.25">
      <c r="A35" s="47" t="s">
        <v>248</v>
      </c>
      <c r="B35" s="134" t="s">
        <v>18</v>
      </c>
      <c r="C35" s="58" t="s">
        <v>159</v>
      </c>
      <c r="D35" s="58" t="s">
        <v>156</v>
      </c>
      <c r="E35" s="58" t="s">
        <v>289</v>
      </c>
      <c r="F35" s="58" t="s">
        <v>156</v>
      </c>
      <c r="G35" s="58" t="s">
        <v>289</v>
      </c>
      <c r="H35" s="58" t="s">
        <v>156</v>
      </c>
      <c r="I35" s="58" t="s">
        <v>249</v>
      </c>
    </row>
    <row r="36" spans="1:43" s="183" customFormat="1" ht="13" x14ac:dyDescent="0.25">
      <c r="A36" s="53" t="s">
        <v>250</v>
      </c>
      <c r="B36" s="34"/>
      <c r="C36" s="34"/>
      <c r="D36" s="34"/>
      <c r="E36" s="34"/>
      <c r="F36" s="34"/>
      <c r="G36" s="34"/>
      <c r="H36" s="34"/>
      <c r="I36" s="34"/>
      <c r="J36" s="7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82"/>
    </row>
    <row r="37" spans="1:43" s="7" customFormat="1" x14ac:dyDescent="0.25">
      <c r="A37" s="47" t="s">
        <v>251</v>
      </c>
      <c r="B37" s="134" t="s">
        <v>18</v>
      </c>
      <c r="C37" s="34">
        <v>12</v>
      </c>
      <c r="D37" s="34">
        <v>12</v>
      </c>
      <c r="E37" s="34">
        <v>12</v>
      </c>
      <c r="F37" s="34">
        <v>12</v>
      </c>
      <c r="G37" s="34">
        <v>12</v>
      </c>
      <c r="H37" s="34">
        <v>12</v>
      </c>
      <c r="I37" s="34">
        <v>12</v>
      </c>
    </row>
    <row r="38" spans="1:43" s="7" customFormat="1" x14ac:dyDescent="0.25">
      <c r="A38" s="47" t="s">
        <v>252</v>
      </c>
      <c r="B38" s="134" t="s">
        <v>18</v>
      </c>
      <c r="C38" s="34">
        <v>11</v>
      </c>
      <c r="D38" s="34">
        <v>11</v>
      </c>
      <c r="E38" s="34">
        <v>11</v>
      </c>
      <c r="F38" s="34">
        <v>11</v>
      </c>
      <c r="G38" s="34">
        <v>11</v>
      </c>
      <c r="H38" s="34">
        <v>11</v>
      </c>
      <c r="I38" s="34">
        <v>11</v>
      </c>
    </row>
    <row r="39" spans="1:43" s="7" customFormat="1" x14ac:dyDescent="0.25">
      <c r="A39" s="47" t="s">
        <v>253</v>
      </c>
      <c r="B39" s="134" t="s">
        <v>18</v>
      </c>
      <c r="C39" s="34">
        <v>10</v>
      </c>
      <c r="D39" s="34">
        <v>10</v>
      </c>
      <c r="E39" s="34">
        <v>10</v>
      </c>
      <c r="F39" s="34">
        <v>10</v>
      </c>
      <c r="G39" s="34">
        <v>10</v>
      </c>
      <c r="H39" s="34">
        <v>10</v>
      </c>
      <c r="I39" s="34">
        <v>10</v>
      </c>
    </row>
    <row r="40" spans="1:43" ht="13" x14ac:dyDescent="0.3">
      <c r="A40" s="94" t="s">
        <v>488</v>
      </c>
      <c r="B40" s="143"/>
      <c r="C40" s="113"/>
      <c r="D40" s="113"/>
      <c r="E40" s="114"/>
      <c r="F40" s="113"/>
      <c r="G40" s="114"/>
      <c r="H40" s="114"/>
      <c r="I40" s="114"/>
    </row>
    <row r="41" spans="1:43" ht="13" x14ac:dyDescent="0.3">
      <c r="A41" s="94" t="s">
        <v>256</v>
      </c>
      <c r="B41" s="143"/>
      <c r="C41" s="113"/>
      <c r="D41" s="113"/>
      <c r="E41" s="114"/>
      <c r="F41" s="113"/>
      <c r="G41" s="114"/>
      <c r="H41" s="114"/>
      <c r="I41" s="114"/>
    </row>
    <row r="42" spans="1:43" ht="13" x14ac:dyDescent="0.3">
      <c r="A42" s="94" t="s">
        <v>257</v>
      </c>
      <c r="B42" s="143"/>
      <c r="C42" s="113"/>
      <c r="D42" s="113"/>
      <c r="E42" s="114"/>
      <c r="F42" s="113"/>
      <c r="G42" s="114"/>
      <c r="H42" s="114"/>
      <c r="I42" s="114"/>
    </row>
    <row r="43" spans="1:43" x14ac:dyDescent="0.25">
      <c r="A43" s="93" t="s">
        <v>258</v>
      </c>
      <c r="B43" s="190"/>
      <c r="C43" s="113"/>
      <c r="D43" s="113"/>
      <c r="E43" s="113"/>
      <c r="F43" s="113"/>
      <c r="G43" s="113"/>
      <c r="H43" s="113"/>
      <c r="I43" s="113"/>
    </row>
    <row r="44" spans="1:43" x14ac:dyDescent="0.25">
      <c r="A44" s="93" t="s">
        <v>489</v>
      </c>
      <c r="B44" s="113"/>
      <c r="C44" s="191"/>
      <c r="D44" s="113"/>
      <c r="E44" s="113"/>
      <c r="F44" s="113"/>
      <c r="G44" s="113"/>
      <c r="H44" s="113"/>
      <c r="I44" s="113"/>
    </row>
    <row r="45" spans="1:43" x14ac:dyDescent="0.25">
      <c r="C45" s="192"/>
    </row>
  </sheetData>
  <sheetProtection algorithmName="SHA-512" hashValue="zURCWF3W3vtCf/r6TmPPVwoxTldm21whK6xEXlySpAqva9xp38HcOrx4KLZBBa3UkLCL86C5m/q1Q96zA9At7g==" saltValue="uysDiLpCf73i+MFj/Q/qkQ==" spinCount="100000" sheet="1" objects="1" scenarios="1"/>
  <phoneticPr fontId="8" type="noConversion"/>
  <printOptions horizontalCentered="1" verticalCentered="1"/>
  <pageMargins left="0.39370078740157483" right="0.39370078740157483" top="0.39370078740157483" bottom="0.39370078740157483" header="0.31496062992125984" footer="0.11811023622047245"/>
  <pageSetup paperSize="9" scale="72" orientation="landscape" r:id="rId1"/>
  <headerFooter alignWithMargins="0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R1136"/>
  <sheetViews>
    <sheetView zoomScale="80" zoomScaleNormal="80" workbookViewId="0">
      <selection activeCell="G20" sqref="G20"/>
    </sheetView>
  </sheetViews>
  <sheetFormatPr defaultColWidth="9.26953125" defaultRowHeight="13" x14ac:dyDescent="0.3"/>
  <cols>
    <col min="1" max="1" width="87.453125" style="74" bestFit="1" customWidth="1"/>
    <col min="2" max="2" width="12.453125" style="5" bestFit="1" customWidth="1"/>
    <col min="3" max="3" width="23.26953125" style="4" bestFit="1" customWidth="1"/>
    <col min="4" max="4" width="21.453125" style="5" bestFit="1" customWidth="1"/>
    <col min="5" max="5" width="10.81640625" style="5" bestFit="1" customWidth="1"/>
    <col min="6" max="6" width="15.1796875" style="5" bestFit="1" customWidth="1"/>
    <col min="7" max="7" width="8.1796875" style="5" bestFit="1" customWidth="1"/>
    <col min="8" max="8" width="10.1796875" style="5" bestFit="1" customWidth="1"/>
    <col min="9" max="9" width="14.1796875" style="5" bestFit="1" customWidth="1"/>
    <col min="10" max="10" width="12.1796875" style="5" bestFit="1" customWidth="1"/>
    <col min="11" max="11" width="14.26953125" style="4" bestFit="1" customWidth="1"/>
    <col min="12" max="12" width="9.26953125" style="5" customWidth="1"/>
    <col min="13" max="13" width="9.54296875" style="4" bestFit="1" customWidth="1"/>
    <col min="14" max="14" width="13.7265625" style="1" bestFit="1" customWidth="1"/>
    <col min="15" max="15" width="10.1796875" style="5" bestFit="1" customWidth="1"/>
    <col min="16" max="16" width="12" style="36" bestFit="1" customWidth="1"/>
    <col min="17" max="17" width="21.453125" style="36" bestFit="1" customWidth="1"/>
    <col min="18" max="18" width="21.453125" style="5" bestFit="1" customWidth="1"/>
    <col min="19" max="19" width="9.1796875" style="5" bestFit="1" customWidth="1"/>
    <col min="20" max="20" width="11.453125" style="5" bestFit="1" customWidth="1"/>
    <col min="21" max="21" width="3.54296875" style="8" customWidth="1"/>
    <col min="22" max="16384" width="9.26953125" style="5"/>
  </cols>
  <sheetData>
    <row r="1" spans="1:44" ht="14" x14ac:dyDescent="0.3">
      <c r="A1" s="73" t="s">
        <v>490</v>
      </c>
      <c r="J1" s="4"/>
      <c r="K1" s="5"/>
      <c r="L1" s="4"/>
      <c r="M1" s="5"/>
      <c r="N1" s="5"/>
      <c r="O1" s="25"/>
      <c r="P1" s="25"/>
      <c r="Q1" s="5"/>
      <c r="T1" s="4"/>
      <c r="U1" s="5"/>
    </row>
    <row r="2" spans="1:44" ht="14" x14ac:dyDescent="0.3">
      <c r="A2" s="73"/>
      <c r="B2" s="23"/>
      <c r="C2" s="6"/>
      <c r="D2" s="23"/>
      <c r="E2" s="23"/>
      <c r="F2" s="23"/>
      <c r="G2" s="23"/>
      <c r="H2" s="23"/>
      <c r="I2" s="23"/>
      <c r="J2" s="23"/>
      <c r="K2" s="6"/>
      <c r="L2" s="23"/>
      <c r="M2" s="6"/>
      <c r="N2" s="23"/>
      <c r="O2" s="23"/>
      <c r="P2" s="37"/>
      <c r="Q2" s="37"/>
      <c r="R2" s="23"/>
      <c r="S2" s="23"/>
      <c r="T2" s="23"/>
      <c r="U2" s="6"/>
    </row>
    <row r="3" spans="1:44" ht="14" x14ac:dyDescent="0.25">
      <c r="A3" s="73" t="s">
        <v>490</v>
      </c>
      <c r="B3" s="73" t="s">
        <v>491</v>
      </c>
      <c r="C3" s="73" t="s">
        <v>492</v>
      </c>
      <c r="D3" s="73" t="s">
        <v>493</v>
      </c>
      <c r="E3" s="73" t="s">
        <v>494</v>
      </c>
      <c r="F3" s="73" t="s">
        <v>495</v>
      </c>
      <c r="G3" s="73" t="s">
        <v>496</v>
      </c>
      <c r="H3" s="73" t="s">
        <v>497</v>
      </c>
      <c r="I3" s="73" t="s">
        <v>498</v>
      </c>
      <c r="J3" s="73" t="s">
        <v>499</v>
      </c>
      <c r="K3" s="73" t="s">
        <v>500</v>
      </c>
      <c r="L3" s="73" t="s">
        <v>501</v>
      </c>
      <c r="M3" s="73" t="s">
        <v>502</v>
      </c>
      <c r="N3" s="73" t="s">
        <v>503</v>
      </c>
      <c r="O3" s="73" t="s">
        <v>504</v>
      </c>
      <c r="P3" s="73" t="s">
        <v>505</v>
      </c>
      <c r="Q3" s="73" t="s">
        <v>506</v>
      </c>
      <c r="R3" s="73" t="s">
        <v>507</v>
      </c>
      <c r="S3" s="73" t="s">
        <v>508</v>
      </c>
      <c r="T3" s="73" t="s">
        <v>509</v>
      </c>
      <c r="U3" s="5"/>
    </row>
    <row r="4" spans="1:44" x14ac:dyDescent="0.25">
      <c r="A4" s="69" t="s">
        <v>213</v>
      </c>
      <c r="B4" s="66" t="s">
        <v>6</v>
      </c>
      <c r="C4" s="66" t="s">
        <v>6</v>
      </c>
      <c r="D4" s="66" t="s">
        <v>6</v>
      </c>
      <c r="E4" s="66" t="s">
        <v>6</v>
      </c>
      <c r="F4" s="66" t="s">
        <v>6</v>
      </c>
      <c r="G4" s="66" t="s">
        <v>6</v>
      </c>
      <c r="H4" s="66" t="s">
        <v>6</v>
      </c>
      <c r="I4" s="66" t="s">
        <v>6</v>
      </c>
      <c r="J4" s="66" t="s">
        <v>12</v>
      </c>
      <c r="K4" s="66" t="s">
        <v>6</v>
      </c>
      <c r="L4" s="66" t="s">
        <v>12</v>
      </c>
      <c r="M4" s="66" t="s">
        <v>6</v>
      </c>
      <c r="N4" s="66" t="s">
        <v>6</v>
      </c>
      <c r="O4" s="66" t="s">
        <v>12</v>
      </c>
      <c r="P4" s="66" t="s">
        <v>12</v>
      </c>
      <c r="Q4" s="66" t="s">
        <v>12</v>
      </c>
      <c r="R4" s="66" t="s">
        <v>6</v>
      </c>
      <c r="S4" s="66" t="s">
        <v>6</v>
      </c>
      <c r="T4" s="66" t="s">
        <v>6</v>
      </c>
      <c r="U4" s="5"/>
    </row>
    <row r="5" spans="1:44" s="13" customFormat="1" x14ac:dyDescent="0.25">
      <c r="A5" s="56" t="s">
        <v>510</v>
      </c>
      <c r="B5" s="38">
        <v>397.79899999999998</v>
      </c>
      <c r="C5" s="38">
        <v>526.14</v>
      </c>
      <c r="D5" s="38">
        <v>657.27599999999995</v>
      </c>
      <c r="E5" s="38">
        <v>662.62599999999998</v>
      </c>
      <c r="F5" s="38">
        <v>675.95799999999997</v>
      </c>
      <c r="G5" s="38">
        <v>699.024</v>
      </c>
      <c r="H5" s="38">
        <v>789.71500000000003</v>
      </c>
      <c r="I5" s="38">
        <v>824.08399999999995</v>
      </c>
      <c r="J5" s="38">
        <v>867.78200000000004</v>
      </c>
      <c r="K5" s="38">
        <v>878.73500000000001</v>
      </c>
      <c r="L5" s="38">
        <v>889.93899999999996</v>
      </c>
      <c r="M5" s="38">
        <v>908.82399999999996</v>
      </c>
      <c r="N5" s="38">
        <v>926.26700000000005</v>
      </c>
      <c r="O5" s="38">
        <v>948.05200000000002</v>
      </c>
      <c r="P5" s="38">
        <v>951.67100000000005</v>
      </c>
      <c r="Q5" s="38">
        <v>1001.377</v>
      </c>
      <c r="R5" s="38">
        <v>1150.097</v>
      </c>
      <c r="S5" s="38">
        <v>1187.7439999999999</v>
      </c>
      <c r="T5" s="38">
        <v>1269.2550000000001</v>
      </c>
    </row>
    <row r="6" spans="1:44" s="14" customFormat="1" x14ac:dyDescent="0.25">
      <c r="A6" s="69" t="s">
        <v>511</v>
      </c>
      <c r="B6" s="62"/>
      <c r="C6" s="62"/>
      <c r="D6" s="62"/>
      <c r="E6" s="62"/>
      <c r="F6" s="62"/>
      <c r="G6" s="62"/>
      <c r="H6" s="62"/>
      <c r="I6" s="61"/>
      <c r="J6" s="62"/>
      <c r="K6" s="62"/>
      <c r="L6" s="62"/>
      <c r="M6" s="62"/>
      <c r="N6" s="62"/>
      <c r="O6" s="62"/>
      <c r="P6" s="67"/>
      <c r="Q6" s="67"/>
      <c r="R6" s="62"/>
      <c r="S6" s="62"/>
      <c r="T6" s="62"/>
    </row>
    <row r="7" spans="1:44" s="14" customFormat="1" ht="12.5" x14ac:dyDescent="0.25">
      <c r="A7" s="71" t="s">
        <v>512</v>
      </c>
      <c r="B7" s="68">
        <v>79.556254351878891</v>
      </c>
      <c r="C7" s="68">
        <v>82.54282248826398</v>
      </c>
      <c r="D7" s="68">
        <v>89.486219986073991</v>
      </c>
      <c r="E7" s="68">
        <v>98.207160665753264</v>
      </c>
      <c r="F7" s="68">
        <v>99.621212461535009</v>
      </c>
      <c r="G7" s="68">
        <v>93.750117921879578</v>
      </c>
      <c r="H7" s="68">
        <v>106.64722265896991</v>
      </c>
      <c r="I7" s="68">
        <v>108.31778261943803</v>
      </c>
      <c r="J7" s="68">
        <v>111.7980503582579</v>
      </c>
      <c r="K7" s="68">
        <v>103.34505065025495</v>
      </c>
      <c r="L7" s="68">
        <v>105.37849554142988</v>
      </c>
      <c r="M7" s="68">
        <v>110.29976864850299</v>
      </c>
      <c r="N7" s="68">
        <v>104.79548976887314</v>
      </c>
      <c r="O7" s="68">
        <v>125.10051436400799</v>
      </c>
      <c r="P7" s="68">
        <v>114.4190157453786</v>
      </c>
      <c r="Q7" s="68">
        <v>106.25603647716805</v>
      </c>
      <c r="R7" s="68">
        <v>109.3065295029312</v>
      </c>
      <c r="S7" s="68">
        <v>110.10076143842234</v>
      </c>
      <c r="T7" s="68">
        <v>109.20745266278836</v>
      </c>
    </row>
    <row r="8" spans="1:44" s="14" customFormat="1" ht="12.5" x14ac:dyDescent="0.25">
      <c r="A8" s="72" t="s">
        <v>513</v>
      </c>
      <c r="B8" s="68">
        <v>92.929845683501028</v>
      </c>
      <c r="C8" s="68">
        <v>97.908471671632341</v>
      </c>
      <c r="D8" s="68">
        <v>94.657588035546596</v>
      </c>
      <c r="E8" s="68">
        <v>99.10998535417653</v>
      </c>
      <c r="F8" s="68">
        <v>99.173425893665694</v>
      </c>
      <c r="G8" s="68">
        <v>97.719428809839869</v>
      </c>
      <c r="H8" s="68">
        <v>100</v>
      </c>
      <c r="I8" s="68">
        <v>103.59984212429494</v>
      </c>
      <c r="J8" s="68">
        <v>103.53500104178073</v>
      </c>
      <c r="K8" s="68">
        <v>100.7660361415202</v>
      </c>
      <c r="L8" s="68">
        <v>100.57425308685266</v>
      </c>
      <c r="M8" s="68">
        <v>105.03148126403272</v>
      </c>
      <c r="N8" s="68">
        <v>100.70208815890602</v>
      </c>
      <c r="O8" s="68">
        <v>106.27580284860305</v>
      </c>
      <c r="P8" s="68">
        <v>104.18432526454788</v>
      </c>
      <c r="Q8" s="68">
        <v>103.47018025699153</v>
      </c>
      <c r="R8" s="68">
        <v>99.300367865819055</v>
      </c>
      <c r="S8" s="68">
        <v>102.50030421215345</v>
      </c>
      <c r="T8" s="68">
        <v>101.79196435394726</v>
      </c>
    </row>
    <row r="9" spans="1:44" s="14" customFormat="1" ht="12.5" x14ac:dyDescent="0.25">
      <c r="A9" s="72" t="s">
        <v>514</v>
      </c>
      <c r="B9" s="68">
        <v>38.681329338288258</v>
      </c>
      <c r="C9" s="68">
        <v>38.092661981110446</v>
      </c>
      <c r="D9" s="68">
        <v>42.715255503534081</v>
      </c>
      <c r="E9" s="68">
        <v>44.772157440000008</v>
      </c>
      <c r="F9" s="68">
        <v>45.387763823445979</v>
      </c>
      <c r="G9" s="68">
        <v>43.34841096985037</v>
      </c>
      <c r="H9" s="68">
        <v>48.187215254633429</v>
      </c>
      <c r="I9" s="68">
        <v>47.241420353104552</v>
      </c>
      <c r="J9" s="68">
        <v>48.789831356460866</v>
      </c>
      <c r="K9" s="68">
        <v>46.340187500988293</v>
      </c>
      <c r="L9" s="68">
        <v>47.342093324012005</v>
      </c>
      <c r="M9" s="68">
        <v>47.450128219015227</v>
      </c>
      <c r="N9" s="68">
        <v>47.020408163265316</v>
      </c>
      <c r="O9" s="68">
        <v>53.187181904440294</v>
      </c>
      <c r="P9" s="68">
        <v>49.622438633979691</v>
      </c>
      <c r="Q9" s="68">
        <v>46.400288997355524</v>
      </c>
      <c r="R9" s="68">
        <v>49.73676421530471</v>
      </c>
      <c r="S9" s="68">
        <v>48.534152157631866</v>
      </c>
      <c r="T9" s="68">
        <v>48.47536199054646</v>
      </c>
    </row>
    <row r="10" spans="1:44" s="17" customFormat="1" x14ac:dyDescent="0.25">
      <c r="A10" s="70" t="s">
        <v>515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s="14" customFormat="1" ht="12.5" x14ac:dyDescent="0.25">
      <c r="A11" s="71" t="s">
        <v>516</v>
      </c>
      <c r="B11" s="68">
        <v>71.416852239415192</v>
      </c>
      <c r="C11" s="68">
        <v>74.22758075030282</v>
      </c>
      <c r="D11" s="68">
        <v>93.62031484545787</v>
      </c>
      <c r="E11" s="68">
        <v>96.227719019328248</v>
      </c>
      <c r="F11" s="68">
        <v>106.58994943115007</v>
      </c>
      <c r="G11" s="68">
        <v>100.61855522642347</v>
      </c>
      <c r="H11" s="68">
        <v>110.23378855275506</v>
      </c>
      <c r="I11" s="68">
        <v>112.29672532858099</v>
      </c>
      <c r="J11" s="68">
        <v>113.93886866800042</v>
      </c>
      <c r="K11" s="68">
        <v>116.70226255274821</v>
      </c>
      <c r="L11" s="68">
        <v>123.46949830329068</v>
      </c>
      <c r="M11" s="68">
        <v>110.01774982259447</v>
      </c>
      <c r="N11" s="68">
        <v>113.17105176373798</v>
      </c>
      <c r="O11" s="68">
        <v>139.39308374096649</v>
      </c>
      <c r="P11" s="68">
        <v>128.43666735624589</v>
      </c>
      <c r="Q11" s="68">
        <v>108.72596747923116</v>
      </c>
      <c r="R11" s="68">
        <v>117.92864523638042</v>
      </c>
      <c r="S11" s="68">
        <v>102.90290786117684</v>
      </c>
      <c r="T11" s="68">
        <v>108.40421386774754</v>
      </c>
    </row>
    <row r="12" spans="1:44" s="14" customFormat="1" ht="12.5" x14ac:dyDescent="0.25">
      <c r="A12" s="72" t="s">
        <v>517</v>
      </c>
      <c r="B12" s="68">
        <v>89.484827010964693</v>
      </c>
      <c r="C12" s="68">
        <v>93.686185639019314</v>
      </c>
      <c r="D12" s="68">
        <v>96.850592088687364</v>
      </c>
      <c r="E12" s="68">
        <v>97.449769438818592</v>
      </c>
      <c r="F12" s="68">
        <v>100.81217940624265</v>
      </c>
      <c r="G12" s="68">
        <v>98.989395063895515</v>
      </c>
      <c r="H12" s="68">
        <v>104.36958177801914</v>
      </c>
      <c r="I12" s="68">
        <v>105.13001337550263</v>
      </c>
      <c r="J12" s="68">
        <v>108.12909373128394</v>
      </c>
      <c r="K12" s="68">
        <v>106.17141378959916</v>
      </c>
      <c r="L12" s="68">
        <v>105.61536151438932</v>
      </c>
      <c r="M12" s="68">
        <v>105.13001337550263</v>
      </c>
      <c r="N12" s="68">
        <v>104.02484351049746</v>
      </c>
      <c r="O12" s="68">
        <v>114.10943868854149</v>
      </c>
      <c r="P12" s="68">
        <v>110.03379404508983</v>
      </c>
      <c r="Q12" s="68">
        <v>104.99154778186445</v>
      </c>
      <c r="R12" s="68">
        <v>103.81827428756658</v>
      </c>
      <c r="S12" s="68">
        <v>100.54108795405223</v>
      </c>
      <c r="T12" s="68">
        <v>101.42346964438414</v>
      </c>
    </row>
    <row r="13" spans="1:44" s="14" customFormat="1" ht="12.5" x14ac:dyDescent="0.25">
      <c r="A13" s="72" t="s">
        <v>514</v>
      </c>
      <c r="B13" s="68">
        <v>34.365295915507296</v>
      </c>
      <c r="C13" s="68">
        <v>34.116033735754122</v>
      </c>
      <c r="D13" s="68">
        <v>41.623309053069704</v>
      </c>
      <c r="E13" s="68">
        <v>42.519501273945508</v>
      </c>
      <c r="F13" s="68">
        <v>45.52731506984771</v>
      </c>
      <c r="G13" s="68">
        <v>43.768150308172125</v>
      </c>
      <c r="H13" s="68">
        <v>45.478860733556452</v>
      </c>
      <c r="I13" s="68">
        <v>45.994844908962456</v>
      </c>
      <c r="J13" s="68">
        <v>45.373065937880682</v>
      </c>
      <c r="K13" s="68">
        <v>47.330431286076184</v>
      </c>
      <c r="L13" s="68">
        <v>50.338628632065152</v>
      </c>
      <c r="M13" s="68">
        <v>45.061414974630296</v>
      </c>
      <c r="N13" s="68">
        <v>46.845412481908696</v>
      </c>
      <c r="O13" s="68">
        <v>52.600326910634543</v>
      </c>
      <c r="P13" s="68">
        <v>50.261069595477913</v>
      </c>
      <c r="Q13" s="68">
        <v>44.591053101109857</v>
      </c>
      <c r="R13" s="68">
        <v>48.911872606989299</v>
      </c>
      <c r="S13" s="68">
        <v>44.070994755393713</v>
      </c>
      <c r="T13" s="68">
        <v>46.023165597654788</v>
      </c>
    </row>
    <row r="14" spans="1:44" s="18" customFormat="1" x14ac:dyDescent="0.25">
      <c r="A14" s="69" t="s">
        <v>518</v>
      </c>
      <c r="B14" s="62"/>
      <c r="C14" s="62"/>
      <c r="D14" s="62"/>
      <c r="E14" s="62"/>
      <c r="F14" s="62"/>
      <c r="G14" s="62"/>
      <c r="H14" s="62"/>
      <c r="I14" s="61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1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s="17" customFormat="1" ht="12.5" x14ac:dyDescent="0.25">
      <c r="A15" s="50" t="s">
        <v>519</v>
      </c>
      <c r="B15" s="49">
        <v>50.75</v>
      </c>
      <c r="C15" s="38">
        <v>51.65</v>
      </c>
      <c r="D15" s="38">
        <v>59.04</v>
      </c>
      <c r="E15" s="38">
        <v>56.03</v>
      </c>
      <c r="F15" s="38">
        <v>57.43</v>
      </c>
      <c r="G15" s="38">
        <v>55.25</v>
      </c>
      <c r="H15" s="38">
        <v>54.11</v>
      </c>
      <c r="I15" s="38">
        <v>55.57</v>
      </c>
      <c r="J15" s="38">
        <v>60.49</v>
      </c>
      <c r="K15" s="38">
        <v>56.9</v>
      </c>
      <c r="L15" s="38">
        <v>60.02</v>
      </c>
      <c r="M15" s="38">
        <v>59.81</v>
      </c>
      <c r="N15" s="38">
        <v>58.65</v>
      </c>
      <c r="O15" s="38">
        <v>55.12</v>
      </c>
      <c r="P15" s="38">
        <v>63.05</v>
      </c>
      <c r="Q15" s="38">
        <v>51.4</v>
      </c>
      <c r="R15" s="38">
        <v>53.89</v>
      </c>
      <c r="S15" s="38">
        <v>51.47</v>
      </c>
      <c r="T15" s="38">
        <v>54.69</v>
      </c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s="15" customFormat="1" ht="12.5" x14ac:dyDescent="0.25">
      <c r="A16" s="50" t="s">
        <v>520</v>
      </c>
      <c r="B16" s="49">
        <v>64.45</v>
      </c>
      <c r="C16" s="38">
        <v>62.27</v>
      </c>
      <c r="D16" s="38">
        <v>68.78</v>
      </c>
      <c r="E16" s="38">
        <v>65.27</v>
      </c>
      <c r="F16" s="38">
        <v>57.54</v>
      </c>
      <c r="G16" s="38">
        <v>56.51</v>
      </c>
      <c r="H16" s="38">
        <v>61.35</v>
      </c>
      <c r="I16" s="38">
        <v>60.12</v>
      </c>
      <c r="J16" s="38">
        <v>61.16</v>
      </c>
      <c r="K16" s="38">
        <v>56.47</v>
      </c>
      <c r="L16" s="38">
        <v>59.01</v>
      </c>
      <c r="M16" s="38">
        <v>64.14</v>
      </c>
      <c r="N16" s="38">
        <v>72.819999999999993</v>
      </c>
      <c r="O16" s="38">
        <v>57.86</v>
      </c>
      <c r="P16" s="38">
        <v>63.21</v>
      </c>
      <c r="Q16" s="38">
        <v>60.52</v>
      </c>
      <c r="R16" s="38">
        <v>54.74</v>
      </c>
      <c r="S16" s="38">
        <v>50.28</v>
      </c>
      <c r="T16" s="38">
        <v>55.21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s="19" customFormat="1" x14ac:dyDescent="0.25">
      <c r="A17" s="69" t="s">
        <v>521</v>
      </c>
      <c r="B17" s="62"/>
      <c r="C17" s="62"/>
      <c r="D17" s="62"/>
      <c r="E17" s="62"/>
      <c r="F17" s="62"/>
      <c r="G17" s="62"/>
      <c r="H17" s="62"/>
      <c r="I17" s="61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1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1:44" s="21" customFormat="1" ht="12.5" x14ac:dyDescent="0.25">
      <c r="A18" s="50" t="s">
        <v>520</v>
      </c>
      <c r="B18" s="49">
        <v>59.97</v>
      </c>
      <c r="C18" s="38">
        <v>58.07</v>
      </c>
      <c r="D18" s="38">
        <v>64.290000000000006</v>
      </c>
      <c r="E18" s="38">
        <v>57.63</v>
      </c>
      <c r="F18" s="38">
        <v>51.99</v>
      </c>
      <c r="G18" s="38">
        <v>55.95</v>
      </c>
      <c r="H18" s="38">
        <v>53.18</v>
      </c>
      <c r="I18" s="38">
        <v>53.38</v>
      </c>
      <c r="J18" s="38">
        <v>52.26</v>
      </c>
      <c r="K18" s="38">
        <v>53.1</v>
      </c>
      <c r="L18" s="38">
        <v>53.17</v>
      </c>
      <c r="M18" s="38">
        <v>52.46</v>
      </c>
      <c r="N18" s="38">
        <v>57.07</v>
      </c>
      <c r="O18" s="38">
        <v>51.08</v>
      </c>
      <c r="P18" s="38">
        <v>50.6</v>
      </c>
      <c r="Q18" s="38">
        <v>53.82</v>
      </c>
      <c r="R18" s="38">
        <v>45.96</v>
      </c>
      <c r="S18" s="38">
        <v>47.09</v>
      </c>
      <c r="T18" s="38">
        <v>49.28</v>
      </c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</row>
    <row r="19" spans="1:44" s="14" customFormat="1" x14ac:dyDescent="0.25">
      <c r="A19" s="69" t="s">
        <v>511</v>
      </c>
      <c r="B19" s="62"/>
      <c r="C19" s="62"/>
      <c r="D19" s="62"/>
      <c r="E19" s="62"/>
      <c r="F19" s="62"/>
      <c r="G19" s="62"/>
      <c r="H19" s="62"/>
      <c r="I19" s="61"/>
      <c r="J19" s="62"/>
      <c r="K19" s="62"/>
      <c r="L19" s="62"/>
      <c r="M19" s="62"/>
      <c r="N19" s="62"/>
      <c r="O19" s="62"/>
      <c r="P19" s="67"/>
      <c r="Q19" s="67"/>
      <c r="R19" s="62"/>
      <c r="S19" s="62"/>
      <c r="T19" s="62"/>
    </row>
    <row r="20" spans="1:44" s="16" customFormat="1" x14ac:dyDescent="0.25">
      <c r="A20" s="71" t="s">
        <v>522</v>
      </c>
      <c r="B20" s="68">
        <v>73.932185903909456</v>
      </c>
      <c r="C20" s="68">
        <v>81.048524785492717</v>
      </c>
      <c r="D20" s="68">
        <v>97.05701789437741</v>
      </c>
      <c r="E20" s="68">
        <v>109.93889901991413</v>
      </c>
      <c r="F20" s="68">
        <v>103.80918476326097</v>
      </c>
      <c r="G20" s="68">
        <v>98.389288075500758</v>
      </c>
      <c r="H20" s="68">
        <v>102.16795867510409</v>
      </c>
      <c r="I20" s="68">
        <v>111.6411534353863</v>
      </c>
      <c r="J20" s="68">
        <v>111.6411534353863</v>
      </c>
      <c r="K20" s="68">
        <v>107.13086943570596</v>
      </c>
      <c r="L20" s="68">
        <v>97.322745402895933</v>
      </c>
      <c r="M20" s="68">
        <v>102.71358098241078</v>
      </c>
      <c r="N20" s="68">
        <v>106.85206442847701</v>
      </c>
      <c r="O20" s="68">
        <v>120.34858799340313</v>
      </c>
      <c r="P20" s="68">
        <v>110.22169992952684</v>
      </c>
      <c r="Q20" s="68">
        <v>118.58094608437897</v>
      </c>
      <c r="R20" s="68">
        <v>107.68956924172304</v>
      </c>
      <c r="S20" s="68">
        <v>103.80918476326097</v>
      </c>
      <c r="T20" s="68">
        <v>109.37438699224798</v>
      </c>
    </row>
    <row r="21" spans="1:44" s="17" customFormat="1" ht="12.5" x14ac:dyDescent="0.25">
      <c r="A21" s="71" t="s">
        <v>523</v>
      </c>
      <c r="B21" s="68">
        <v>64.891975308641975</v>
      </c>
      <c r="C21" s="68">
        <v>63.335069444444436</v>
      </c>
      <c r="D21" s="68">
        <v>95.333526234567898</v>
      </c>
      <c r="E21" s="68">
        <v>89.460069444444471</v>
      </c>
      <c r="F21" s="68">
        <v>101.95389660493825</v>
      </c>
      <c r="G21" s="68">
        <v>89.722993827160508</v>
      </c>
      <c r="H21" s="68">
        <v>110.83410493827159</v>
      </c>
      <c r="I21" s="68">
        <v>108.50694444444444</v>
      </c>
      <c r="J21" s="68">
        <v>117.36111111111114</v>
      </c>
      <c r="K21" s="68">
        <v>102.515625</v>
      </c>
      <c r="L21" s="68">
        <v>121.00000000000001</v>
      </c>
      <c r="M21" s="68">
        <v>113.77777777777777</v>
      </c>
      <c r="N21" s="68">
        <v>130.97530864197532</v>
      </c>
      <c r="O21" s="68">
        <v>162.5625</v>
      </c>
      <c r="P21" s="68">
        <v>132.56963734567898</v>
      </c>
      <c r="Q21" s="68">
        <v>120.08506944444449</v>
      </c>
      <c r="R21" s="68">
        <v>127.18827160493828</v>
      </c>
      <c r="S21" s="68">
        <v>124.69444444444446</v>
      </c>
      <c r="T21" s="68">
        <v>116.16049382716052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s="17" customFormat="1" x14ac:dyDescent="0.25">
      <c r="A22" s="69" t="s">
        <v>515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s="14" customFormat="1" ht="12.5" x14ac:dyDescent="0.25">
      <c r="A23" s="72" t="s">
        <v>524</v>
      </c>
      <c r="B23" s="68">
        <v>65.063988421560452</v>
      </c>
      <c r="C23" s="68">
        <v>70.738125520810485</v>
      </c>
      <c r="D23" s="68">
        <v>108.38050962677075</v>
      </c>
      <c r="E23" s="68">
        <v>103.20406999692997</v>
      </c>
      <c r="F23" s="68">
        <v>112.5566422525328</v>
      </c>
      <c r="G23" s="68">
        <v>101.06240954344108</v>
      </c>
      <c r="H23" s="68">
        <v>111.71510021490285</v>
      </c>
      <c r="I23" s="68">
        <v>119.40265777816761</v>
      </c>
      <c r="J23" s="68">
        <v>126.15306346212884</v>
      </c>
      <c r="K23" s="68">
        <v>138.02359545633965</v>
      </c>
      <c r="L23" s="68">
        <v>120.85434849348712</v>
      </c>
      <c r="M23" s="68">
        <v>101.06240954344108</v>
      </c>
      <c r="N23" s="68">
        <v>113.96622955133549</v>
      </c>
      <c r="O23" s="68">
        <v>142.09903074426563</v>
      </c>
      <c r="P23" s="68">
        <v>120.85434849348712</v>
      </c>
      <c r="Q23" s="68">
        <v>123.78404455944914</v>
      </c>
      <c r="R23" s="68">
        <v>127.0472347704048</v>
      </c>
      <c r="S23" s="68">
        <v>103.20406999692997</v>
      </c>
      <c r="T23" s="68">
        <v>107.00600850839876</v>
      </c>
    </row>
    <row r="24" spans="1:44" s="14" customFormat="1" ht="12.5" x14ac:dyDescent="0.25">
      <c r="A24" s="72" t="s">
        <v>525</v>
      </c>
      <c r="B24" s="68">
        <v>70.700520052522208</v>
      </c>
      <c r="C24" s="68">
        <v>68.288169063595276</v>
      </c>
      <c r="D24" s="68">
        <v>106.53425833066244</v>
      </c>
      <c r="E24" s="68">
        <v>91.506756547182093</v>
      </c>
      <c r="F24" s="68">
        <v>106.53425833066244</v>
      </c>
      <c r="G24" s="68">
        <v>90.892618976230594</v>
      </c>
      <c r="H24" s="68">
        <v>104.55226889713714</v>
      </c>
      <c r="I24" s="68">
        <v>103.24128162446624</v>
      </c>
      <c r="J24" s="68">
        <v>114.64831835899135</v>
      </c>
      <c r="K24" s="68">
        <v>112.25095894376609</v>
      </c>
      <c r="L24" s="68">
        <v>119.87081399075694</v>
      </c>
      <c r="M24" s="68">
        <v>114.64831835899135</v>
      </c>
      <c r="N24" s="68">
        <v>133.62170573091677</v>
      </c>
      <c r="O24" s="68">
        <v>143.07544380227665</v>
      </c>
      <c r="P24" s="68">
        <v>148.11907445125672</v>
      </c>
      <c r="Q24" s="68">
        <v>112.25095894376609</v>
      </c>
      <c r="R24" s="68">
        <v>142.69109086961467</v>
      </c>
      <c r="S24" s="68">
        <v>114.64831835899135</v>
      </c>
      <c r="T24" s="68">
        <v>111.91054683057453</v>
      </c>
    </row>
    <row r="25" spans="1:44" s="18" customFormat="1" x14ac:dyDescent="0.25">
      <c r="A25" s="69" t="s">
        <v>518</v>
      </c>
      <c r="B25" s="62"/>
      <c r="C25" s="62"/>
      <c r="D25" s="62"/>
      <c r="E25" s="62"/>
      <c r="F25" s="62"/>
      <c r="G25" s="62"/>
      <c r="H25" s="62"/>
      <c r="I25" s="61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1"/>
      <c r="U25" s="16"/>
      <c r="V25" s="16"/>
      <c r="W25" s="14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</row>
    <row r="26" spans="1:44" s="40" customFormat="1" ht="12.5" x14ac:dyDescent="0.25">
      <c r="A26" s="50" t="s">
        <v>526</v>
      </c>
      <c r="B26" s="49">
        <v>44.31</v>
      </c>
      <c r="C26" s="38">
        <v>50.99</v>
      </c>
      <c r="D26" s="38">
        <v>50.8</v>
      </c>
      <c r="E26" s="38">
        <v>46.14</v>
      </c>
      <c r="F26" s="38">
        <v>48.64</v>
      </c>
      <c r="G26" s="38">
        <v>45.69</v>
      </c>
      <c r="H26" s="38">
        <v>49.11</v>
      </c>
      <c r="I26" s="38">
        <v>48.45</v>
      </c>
      <c r="J26" s="38">
        <v>45.6</v>
      </c>
      <c r="K26" s="38">
        <v>49.77</v>
      </c>
      <c r="L26" s="38">
        <v>47.93</v>
      </c>
      <c r="M26" s="38">
        <v>49.71</v>
      </c>
      <c r="N26" s="38">
        <v>51.39</v>
      </c>
      <c r="O26" s="38">
        <v>44.41</v>
      </c>
      <c r="P26" s="38">
        <v>47.13</v>
      </c>
      <c r="Q26" s="38">
        <v>49.32</v>
      </c>
      <c r="R26" s="38">
        <v>46.99</v>
      </c>
      <c r="S26" s="38">
        <v>48.82</v>
      </c>
      <c r="T26" s="38">
        <v>45.59</v>
      </c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s="17" customFormat="1" ht="12.5" x14ac:dyDescent="0.25">
      <c r="A27" s="50" t="s">
        <v>527</v>
      </c>
      <c r="B27" s="49">
        <v>50</v>
      </c>
      <c r="C27" s="38">
        <v>55.58</v>
      </c>
      <c r="D27" s="38">
        <v>65.260000000000005</v>
      </c>
      <c r="E27" s="38">
        <v>60.19</v>
      </c>
      <c r="F27" s="38">
        <v>63.51</v>
      </c>
      <c r="G27" s="38">
        <v>55.68</v>
      </c>
      <c r="H27" s="38">
        <v>64.39</v>
      </c>
      <c r="I27" s="38">
        <v>59.12</v>
      </c>
      <c r="J27" s="38">
        <v>60.04</v>
      </c>
      <c r="K27" s="38">
        <v>62.7</v>
      </c>
      <c r="L27" s="38">
        <v>64.03</v>
      </c>
      <c r="M27" s="38">
        <v>62.53</v>
      </c>
      <c r="N27" s="38">
        <v>70.040000000000006</v>
      </c>
      <c r="O27" s="38">
        <v>65.59</v>
      </c>
      <c r="P27" s="38">
        <v>68.09</v>
      </c>
      <c r="Q27" s="38">
        <v>66.23</v>
      </c>
      <c r="R27" s="38">
        <v>59.98</v>
      </c>
      <c r="S27" s="38">
        <v>59.93</v>
      </c>
      <c r="T27" s="38">
        <v>62.41</v>
      </c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s="17" customFormat="1" ht="12.5" x14ac:dyDescent="0.25">
      <c r="A28" s="50" t="s">
        <v>528</v>
      </c>
      <c r="B28" s="49">
        <v>57.86</v>
      </c>
      <c r="C28" s="38">
        <v>58.65</v>
      </c>
      <c r="D28" s="38">
        <v>60.13</v>
      </c>
      <c r="E28" s="38">
        <v>60.89</v>
      </c>
      <c r="F28" s="38">
        <v>52.56</v>
      </c>
      <c r="G28" s="38">
        <v>52.68</v>
      </c>
      <c r="H28" s="38">
        <v>53.63</v>
      </c>
      <c r="I28" s="38">
        <v>53.18</v>
      </c>
      <c r="J28" s="38">
        <v>54.79</v>
      </c>
      <c r="K28" s="38">
        <v>47.45</v>
      </c>
      <c r="L28" s="38">
        <v>57</v>
      </c>
      <c r="M28" s="38">
        <v>56.19</v>
      </c>
      <c r="N28" s="38">
        <v>56.09</v>
      </c>
      <c r="O28" s="38">
        <v>49.53</v>
      </c>
      <c r="P28" s="38">
        <v>53.37</v>
      </c>
      <c r="Q28" s="38">
        <v>53.78</v>
      </c>
      <c r="R28" s="38">
        <v>48.1</v>
      </c>
      <c r="S28" s="38">
        <v>50.01</v>
      </c>
      <c r="T28" s="38">
        <v>50.73</v>
      </c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s="17" customFormat="1" ht="12.5" x14ac:dyDescent="0.25">
      <c r="A29" s="50" t="s">
        <v>529</v>
      </c>
      <c r="B29" s="49">
        <v>68.47</v>
      </c>
      <c r="C29" s="38">
        <v>69.94</v>
      </c>
      <c r="D29" s="38">
        <v>71.75</v>
      </c>
      <c r="E29" s="38">
        <v>71.08</v>
      </c>
      <c r="F29" s="38">
        <v>62.53</v>
      </c>
      <c r="G29" s="38">
        <v>61.54</v>
      </c>
      <c r="H29" s="38">
        <v>62.27</v>
      </c>
      <c r="I29" s="38">
        <v>65.430000000000007</v>
      </c>
      <c r="J29" s="38">
        <v>58.77</v>
      </c>
      <c r="K29" s="38">
        <v>57.79</v>
      </c>
      <c r="L29" s="38">
        <v>62.46</v>
      </c>
      <c r="M29" s="38">
        <v>64.22</v>
      </c>
      <c r="N29" s="38">
        <v>69.05</v>
      </c>
      <c r="O29" s="38">
        <v>61.72</v>
      </c>
      <c r="P29" s="38">
        <v>65.790000000000006</v>
      </c>
      <c r="Q29" s="38">
        <v>65.75</v>
      </c>
      <c r="R29" s="38">
        <v>58.3</v>
      </c>
      <c r="S29" s="38">
        <v>57.61</v>
      </c>
      <c r="T29" s="38">
        <v>60.13</v>
      </c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s="19" customFormat="1" x14ac:dyDescent="0.25">
      <c r="A30" s="69" t="s">
        <v>521</v>
      </c>
      <c r="B30" s="62"/>
      <c r="C30" s="62"/>
      <c r="D30" s="62"/>
      <c r="E30" s="62"/>
      <c r="F30" s="62"/>
      <c r="G30" s="62"/>
      <c r="H30" s="62"/>
      <c r="I30" s="61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1"/>
      <c r="U30" s="7"/>
      <c r="V30" s="7"/>
      <c r="W30" s="14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 s="20" customFormat="1" ht="12.5" x14ac:dyDescent="0.25">
      <c r="A31" s="50" t="s">
        <v>528</v>
      </c>
      <c r="B31" s="49">
        <v>35.950000000000003</v>
      </c>
      <c r="C31" s="38">
        <v>30.3</v>
      </c>
      <c r="D31" s="38">
        <v>30.4</v>
      </c>
      <c r="E31" s="38">
        <v>32.39</v>
      </c>
      <c r="F31" s="38">
        <v>28.04</v>
      </c>
      <c r="G31" s="38">
        <v>25.86</v>
      </c>
      <c r="H31" s="38">
        <v>26.9</v>
      </c>
      <c r="I31" s="38">
        <v>31.73</v>
      </c>
      <c r="J31" s="38">
        <v>26.1</v>
      </c>
      <c r="K31" s="38">
        <v>26.29</v>
      </c>
      <c r="L31" s="38">
        <v>22.36</v>
      </c>
      <c r="M31" s="38">
        <v>30.14</v>
      </c>
      <c r="N31" s="38">
        <v>24.5</v>
      </c>
      <c r="O31" s="38">
        <v>20.010000000000002</v>
      </c>
      <c r="P31" s="38">
        <v>24.57</v>
      </c>
      <c r="Q31" s="38">
        <v>30.83</v>
      </c>
      <c r="R31" s="38">
        <v>23.74</v>
      </c>
      <c r="S31" s="38">
        <v>24.96</v>
      </c>
      <c r="T31" s="38">
        <v>21.9</v>
      </c>
      <c r="U31" s="7"/>
      <c r="V31" s="7"/>
      <c r="W31" s="14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 s="21" customFormat="1" ht="12.5" x14ac:dyDescent="0.25">
      <c r="A32" s="50" t="s">
        <v>529</v>
      </c>
      <c r="B32" s="49">
        <v>57.26</v>
      </c>
      <c r="C32" s="38">
        <v>61.13</v>
      </c>
      <c r="D32" s="38">
        <v>53.66</v>
      </c>
      <c r="E32" s="38">
        <v>55.14</v>
      </c>
      <c r="F32" s="38">
        <v>48.83</v>
      </c>
      <c r="G32" s="38">
        <v>49.79</v>
      </c>
      <c r="H32" s="38">
        <v>51.45</v>
      </c>
      <c r="I32" s="38">
        <v>50.71</v>
      </c>
      <c r="J32" s="38">
        <v>51.46</v>
      </c>
      <c r="K32" s="38">
        <v>45.05</v>
      </c>
      <c r="L32" s="38">
        <v>46.32</v>
      </c>
      <c r="M32" s="38">
        <v>53.25</v>
      </c>
      <c r="N32" s="38">
        <v>49.23</v>
      </c>
      <c r="O32" s="38">
        <v>50.61</v>
      </c>
      <c r="P32" s="38">
        <v>48.09</v>
      </c>
      <c r="Q32" s="38">
        <v>44.64</v>
      </c>
      <c r="R32" s="38">
        <v>45.86</v>
      </c>
      <c r="S32" s="38">
        <v>47.64</v>
      </c>
      <c r="T32" s="38">
        <v>45.81</v>
      </c>
      <c r="U32" s="7"/>
      <c r="V32" s="7"/>
      <c r="W32" s="14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</row>
    <row r="33" spans="1:44" s="7" customFormat="1" x14ac:dyDescent="0.25">
      <c r="A33" s="54" t="s">
        <v>245</v>
      </c>
      <c r="B33" s="49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W33" s="14"/>
    </row>
    <row r="34" spans="1:44" s="15" customFormat="1" ht="12.5" x14ac:dyDescent="0.25">
      <c r="A34" s="59" t="s">
        <v>246</v>
      </c>
      <c r="B34" s="61">
        <v>2001</v>
      </c>
      <c r="C34" s="61">
        <v>1969</v>
      </c>
      <c r="D34" s="61">
        <v>2021</v>
      </c>
      <c r="E34" s="61">
        <v>2019</v>
      </c>
      <c r="F34" s="61">
        <v>1994</v>
      </c>
      <c r="G34" s="61">
        <v>2011</v>
      </c>
      <c r="H34" s="61">
        <v>2015</v>
      </c>
      <c r="I34" s="61">
        <v>2018</v>
      </c>
      <c r="J34" s="39">
        <v>2024</v>
      </c>
      <c r="K34" s="61">
        <v>2021</v>
      </c>
      <c r="L34" s="39">
        <v>2025</v>
      </c>
      <c r="M34" s="61">
        <v>2009</v>
      </c>
      <c r="N34" s="61">
        <v>2001</v>
      </c>
      <c r="O34" s="39">
        <v>2025</v>
      </c>
      <c r="P34" s="39">
        <v>2022</v>
      </c>
      <c r="Q34" s="39">
        <v>2022</v>
      </c>
      <c r="R34" s="61">
        <v>2021</v>
      </c>
      <c r="S34" s="61">
        <v>1981</v>
      </c>
      <c r="T34" s="61">
        <v>2015</v>
      </c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s="15" customFormat="1" ht="14" x14ac:dyDescent="0.25">
      <c r="A35" s="47" t="s">
        <v>247</v>
      </c>
      <c r="B35" s="57" t="s">
        <v>151</v>
      </c>
      <c r="C35" s="57" t="s">
        <v>151</v>
      </c>
      <c r="D35" s="57" t="s">
        <v>530</v>
      </c>
      <c r="E35" s="57" t="s">
        <v>154</v>
      </c>
      <c r="F35" s="57" t="s">
        <v>151</v>
      </c>
      <c r="G35" s="61" t="s">
        <v>154</v>
      </c>
      <c r="H35" s="61" t="s">
        <v>154</v>
      </c>
      <c r="I35" s="57" t="s">
        <v>151</v>
      </c>
      <c r="J35" s="39" t="s">
        <v>154</v>
      </c>
      <c r="K35" s="57" t="s">
        <v>151</v>
      </c>
      <c r="L35" s="39" t="s">
        <v>249</v>
      </c>
      <c r="M35" s="61" t="s">
        <v>156</v>
      </c>
      <c r="N35" s="61" t="s">
        <v>531</v>
      </c>
      <c r="O35" s="39" t="s">
        <v>154</v>
      </c>
      <c r="P35" s="39" t="s">
        <v>154</v>
      </c>
      <c r="Q35" s="57" t="s">
        <v>530</v>
      </c>
      <c r="R35" s="57" t="s">
        <v>530</v>
      </c>
      <c r="S35" s="39" t="s">
        <v>154</v>
      </c>
      <c r="T35" s="61" t="s">
        <v>156</v>
      </c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s="15" customFormat="1" ht="14" x14ac:dyDescent="0.25">
      <c r="A36" s="47" t="s">
        <v>248</v>
      </c>
      <c r="B36" s="57" t="s">
        <v>267</v>
      </c>
      <c r="C36" s="57" t="s">
        <v>249</v>
      </c>
      <c r="D36" s="57" t="s">
        <v>156</v>
      </c>
      <c r="E36" s="57" t="s">
        <v>289</v>
      </c>
      <c r="F36" s="57" t="s">
        <v>267</v>
      </c>
      <c r="G36" s="61" t="s">
        <v>156</v>
      </c>
      <c r="H36" s="61" t="s">
        <v>156</v>
      </c>
      <c r="I36" s="57" t="s">
        <v>267</v>
      </c>
      <c r="J36" s="39" t="s">
        <v>308</v>
      </c>
      <c r="K36" s="57" t="s">
        <v>267</v>
      </c>
      <c r="L36" s="39" t="s">
        <v>249</v>
      </c>
      <c r="M36" s="61" t="s">
        <v>289</v>
      </c>
      <c r="N36" s="61" t="s">
        <v>249</v>
      </c>
      <c r="O36" s="39" t="s">
        <v>308</v>
      </c>
      <c r="P36" s="39" t="s">
        <v>249</v>
      </c>
      <c r="Q36" s="39" t="s">
        <v>532</v>
      </c>
      <c r="R36" s="61" t="s">
        <v>289</v>
      </c>
      <c r="S36" s="57" t="s">
        <v>267</v>
      </c>
      <c r="T36" s="61" t="s">
        <v>156</v>
      </c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s="19" customFormat="1" x14ac:dyDescent="0.25">
      <c r="A37" s="53" t="s">
        <v>533</v>
      </c>
      <c r="B37" s="62"/>
      <c r="C37" s="62"/>
      <c r="D37" s="62"/>
      <c r="E37" s="62"/>
      <c r="F37" s="62"/>
      <c r="G37" s="62"/>
      <c r="H37" s="62"/>
      <c r="I37" s="61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1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</row>
    <row r="38" spans="1:44" s="7" customFormat="1" ht="12.5" x14ac:dyDescent="0.25">
      <c r="A38" s="47" t="s">
        <v>252</v>
      </c>
      <c r="B38" s="61">
        <v>25</v>
      </c>
      <c r="C38" s="61">
        <v>10</v>
      </c>
      <c r="D38" s="61">
        <v>12</v>
      </c>
      <c r="E38" s="61">
        <v>11</v>
      </c>
      <c r="F38" s="61">
        <v>13</v>
      </c>
      <c r="G38" s="61">
        <v>11</v>
      </c>
      <c r="H38" s="61">
        <v>12</v>
      </c>
      <c r="I38" s="61">
        <v>12</v>
      </c>
      <c r="J38" s="61">
        <v>4</v>
      </c>
      <c r="K38" s="61">
        <v>12</v>
      </c>
      <c r="L38" s="61">
        <v>5</v>
      </c>
      <c r="M38" s="61">
        <v>17</v>
      </c>
      <c r="N38" s="61">
        <v>10</v>
      </c>
      <c r="O38" s="61">
        <v>5</v>
      </c>
      <c r="P38" s="61">
        <v>10</v>
      </c>
      <c r="Q38" s="61">
        <v>10</v>
      </c>
      <c r="R38" s="61">
        <v>12</v>
      </c>
      <c r="S38" s="61">
        <v>25</v>
      </c>
      <c r="T38" s="61">
        <v>12</v>
      </c>
    </row>
    <row r="39" spans="1:44" s="22" customFormat="1" ht="12.5" x14ac:dyDescent="0.25">
      <c r="A39" s="47" t="s">
        <v>253</v>
      </c>
      <c r="B39" s="61">
        <v>25</v>
      </c>
      <c r="C39" s="61">
        <v>10</v>
      </c>
      <c r="D39" s="61">
        <v>11</v>
      </c>
      <c r="E39" s="61">
        <v>11</v>
      </c>
      <c r="F39" s="61">
        <v>12</v>
      </c>
      <c r="G39" s="61">
        <v>11</v>
      </c>
      <c r="H39" s="61">
        <v>13</v>
      </c>
      <c r="I39" s="61">
        <v>11</v>
      </c>
      <c r="J39" s="61">
        <v>4</v>
      </c>
      <c r="K39" s="61">
        <v>11</v>
      </c>
      <c r="L39" s="61">
        <v>5</v>
      </c>
      <c r="M39" s="61">
        <v>16</v>
      </c>
      <c r="N39" s="61">
        <v>10</v>
      </c>
      <c r="O39" s="61">
        <v>5</v>
      </c>
      <c r="P39" s="61">
        <v>8</v>
      </c>
      <c r="Q39" s="61">
        <v>8</v>
      </c>
      <c r="R39" s="61">
        <v>11</v>
      </c>
      <c r="S39" s="61">
        <v>25</v>
      </c>
      <c r="T39" s="61">
        <v>13</v>
      </c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</row>
    <row r="40" spans="1:44" x14ac:dyDescent="0.3">
      <c r="A40" s="47" t="s">
        <v>534</v>
      </c>
      <c r="B40" s="95"/>
      <c r="C40" s="95"/>
      <c r="D40" s="94"/>
      <c r="E40" s="94"/>
      <c r="F40" s="105"/>
      <c r="G40" s="94"/>
      <c r="H40" s="94"/>
      <c r="I40" s="95"/>
      <c r="J40" s="95"/>
      <c r="K40" s="94"/>
      <c r="L40" s="95"/>
      <c r="M40" s="94"/>
      <c r="N40" s="94"/>
      <c r="O40" s="95"/>
      <c r="P40" s="94"/>
      <c r="Q40" s="94"/>
      <c r="R40" s="94"/>
      <c r="S40" s="94"/>
      <c r="T40" s="94"/>
      <c r="U40" s="5"/>
    </row>
    <row r="41" spans="1:44" ht="12.5" x14ac:dyDescent="0.25">
      <c r="B41" s="43"/>
      <c r="C41" s="43"/>
      <c r="E41" s="43"/>
      <c r="K41" s="5"/>
      <c r="M41" s="5"/>
      <c r="N41" s="5"/>
      <c r="P41" s="5"/>
      <c r="Q41" s="5"/>
      <c r="U41" s="5"/>
    </row>
    <row r="42" spans="1:44" x14ac:dyDescent="0.3">
      <c r="B42" s="43"/>
      <c r="J42" s="4"/>
      <c r="K42" s="5"/>
      <c r="N42" s="5"/>
      <c r="P42" s="5"/>
      <c r="Q42" s="5"/>
      <c r="U42" s="4"/>
    </row>
    <row r="43" spans="1:44" x14ac:dyDescent="0.3">
      <c r="B43" s="43"/>
      <c r="J43" s="4"/>
      <c r="K43" s="5"/>
      <c r="N43" s="5"/>
      <c r="P43" s="5"/>
      <c r="Q43" s="5"/>
      <c r="U43" s="4"/>
    </row>
    <row r="44" spans="1:44" x14ac:dyDescent="0.3">
      <c r="J44" s="4"/>
      <c r="K44" s="5"/>
      <c r="N44" s="5"/>
      <c r="P44" s="5"/>
      <c r="Q44" s="5"/>
      <c r="U44" s="4"/>
    </row>
    <row r="45" spans="1:44" x14ac:dyDescent="0.3">
      <c r="J45" s="4"/>
      <c r="K45" s="5"/>
      <c r="N45" s="5"/>
      <c r="P45" s="5"/>
      <c r="Q45" s="5"/>
      <c r="U45" s="4"/>
    </row>
    <row r="46" spans="1:44" x14ac:dyDescent="0.3">
      <c r="J46" s="4"/>
      <c r="K46" s="5"/>
      <c r="N46" s="5"/>
      <c r="P46" s="5"/>
      <c r="Q46" s="5"/>
      <c r="U46" s="4"/>
    </row>
    <row r="47" spans="1:44" x14ac:dyDescent="0.3">
      <c r="J47" s="4"/>
      <c r="K47" s="5"/>
      <c r="N47" s="5"/>
      <c r="P47" s="5"/>
      <c r="Q47" s="5"/>
      <c r="U47" s="4"/>
    </row>
    <row r="48" spans="1:44" x14ac:dyDescent="0.3">
      <c r="J48" s="4"/>
      <c r="K48" s="5"/>
      <c r="N48" s="5"/>
      <c r="P48" s="5"/>
      <c r="Q48" s="5"/>
      <c r="U48" s="4"/>
    </row>
    <row r="49" spans="10:21" x14ac:dyDescent="0.3">
      <c r="J49" s="4"/>
      <c r="K49" s="5"/>
      <c r="N49" s="5"/>
      <c r="P49" s="5"/>
      <c r="Q49" s="5"/>
      <c r="U49" s="4"/>
    </row>
    <row r="50" spans="10:21" x14ac:dyDescent="0.3">
      <c r="J50" s="4"/>
      <c r="K50" s="5"/>
      <c r="N50" s="5"/>
      <c r="P50" s="5"/>
      <c r="Q50" s="5"/>
      <c r="U50" s="4"/>
    </row>
    <row r="51" spans="10:21" x14ac:dyDescent="0.3">
      <c r="J51" s="4"/>
      <c r="K51" s="5"/>
      <c r="N51" s="5"/>
      <c r="P51" s="5"/>
      <c r="Q51" s="5"/>
      <c r="U51" s="4"/>
    </row>
    <row r="52" spans="10:21" x14ac:dyDescent="0.3">
      <c r="J52" s="4"/>
      <c r="K52" s="5"/>
      <c r="N52" s="5"/>
      <c r="P52" s="5"/>
      <c r="Q52" s="5"/>
      <c r="U52" s="4"/>
    </row>
    <row r="53" spans="10:21" x14ac:dyDescent="0.3">
      <c r="J53" s="4"/>
      <c r="K53" s="5"/>
      <c r="N53" s="5"/>
      <c r="P53" s="5"/>
      <c r="Q53" s="5"/>
      <c r="U53" s="4"/>
    </row>
    <row r="54" spans="10:21" x14ac:dyDescent="0.3">
      <c r="J54" s="4"/>
      <c r="K54" s="5"/>
      <c r="N54" s="5"/>
      <c r="P54" s="5"/>
      <c r="Q54" s="5"/>
      <c r="U54" s="4"/>
    </row>
    <row r="55" spans="10:21" x14ac:dyDescent="0.3">
      <c r="J55" s="4"/>
      <c r="K55" s="5"/>
      <c r="N55" s="5"/>
      <c r="P55" s="5"/>
      <c r="Q55" s="5"/>
      <c r="U55" s="4"/>
    </row>
    <row r="56" spans="10:21" x14ac:dyDescent="0.3">
      <c r="J56" s="4"/>
      <c r="K56" s="5"/>
      <c r="N56" s="5"/>
      <c r="P56" s="5"/>
      <c r="Q56" s="5"/>
      <c r="U56" s="4"/>
    </row>
    <row r="57" spans="10:21" x14ac:dyDescent="0.3">
      <c r="J57" s="4"/>
      <c r="K57" s="5"/>
      <c r="N57" s="5"/>
      <c r="P57" s="5"/>
      <c r="Q57" s="5"/>
      <c r="U57" s="4"/>
    </row>
    <row r="58" spans="10:21" x14ac:dyDescent="0.3">
      <c r="J58" s="4"/>
      <c r="K58" s="5"/>
      <c r="N58" s="5"/>
      <c r="P58" s="5"/>
      <c r="Q58" s="5"/>
      <c r="U58" s="4"/>
    </row>
    <row r="59" spans="10:21" x14ac:dyDescent="0.3">
      <c r="J59" s="4"/>
      <c r="K59" s="5"/>
      <c r="N59" s="5"/>
      <c r="P59" s="5"/>
      <c r="Q59" s="5"/>
      <c r="U59" s="4"/>
    </row>
    <row r="60" spans="10:21" x14ac:dyDescent="0.3">
      <c r="J60" s="4"/>
      <c r="K60" s="5"/>
      <c r="N60" s="5"/>
      <c r="P60" s="5"/>
      <c r="Q60" s="5"/>
      <c r="U60" s="4"/>
    </row>
    <row r="61" spans="10:21" x14ac:dyDescent="0.3">
      <c r="J61" s="4"/>
      <c r="K61" s="5"/>
      <c r="N61" s="5"/>
      <c r="P61" s="5"/>
      <c r="Q61" s="5"/>
      <c r="U61" s="4"/>
    </row>
    <row r="62" spans="10:21" x14ac:dyDescent="0.3">
      <c r="J62" s="4"/>
      <c r="K62" s="5"/>
      <c r="N62" s="5"/>
      <c r="P62" s="5"/>
      <c r="Q62" s="5"/>
      <c r="U62" s="4"/>
    </row>
    <row r="63" spans="10:21" x14ac:dyDescent="0.3">
      <c r="J63" s="4"/>
      <c r="K63" s="5"/>
      <c r="N63" s="5"/>
      <c r="P63" s="5"/>
      <c r="Q63" s="5"/>
      <c r="U63" s="4"/>
    </row>
    <row r="64" spans="10:21" x14ac:dyDescent="0.3">
      <c r="J64" s="4"/>
      <c r="K64" s="5"/>
      <c r="N64" s="5"/>
      <c r="P64" s="5"/>
      <c r="Q64" s="5"/>
      <c r="U64" s="4"/>
    </row>
    <row r="65" spans="10:21" x14ac:dyDescent="0.3">
      <c r="J65" s="4"/>
      <c r="K65" s="5"/>
      <c r="N65" s="5"/>
      <c r="P65" s="5"/>
      <c r="Q65" s="5"/>
      <c r="U65" s="4"/>
    </row>
    <row r="66" spans="10:21" x14ac:dyDescent="0.3">
      <c r="J66" s="4"/>
      <c r="K66" s="5"/>
      <c r="N66" s="5"/>
      <c r="P66" s="5"/>
      <c r="Q66" s="5"/>
      <c r="U66" s="4"/>
    </row>
    <row r="67" spans="10:21" x14ac:dyDescent="0.3">
      <c r="J67" s="4"/>
      <c r="K67" s="5"/>
      <c r="N67" s="5"/>
      <c r="P67" s="5"/>
      <c r="Q67" s="5"/>
      <c r="U67" s="4"/>
    </row>
    <row r="68" spans="10:21" x14ac:dyDescent="0.3">
      <c r="J68" s="4"/>
      <c r="K68" s="5"/>
      <c r="N68" s="5"/>
      <c r="P68" s="5"/>
      <c r="Q68" s="5"/>
      <c r="U68" s="4"/>
    </row>
    <row r="69" spans="10:21" x14ac:dyDescent="0.3">
      <c r="J69" s="4"/>
      <c r="K69" s="5"/>
      <c r="N69" s="5"/>
      <c r="P69" s="5"/>
      <c r="Q69" s="5"/>
      <c r="U69" s="4"/>
    </row>
    <row r="70" spans="10:21" x14ac:dyDescent="0.3">
      <c r="J70" s="4"/>
      <c r="K70" s="5"/>
      <c r="N70" s="5"/>
      <c r="P70" s="5"/>
      <c r="Q70" s="5"/>
      <c r="U70" s="4"/>
    </row>
    <row r="71" spans="10:21" x14ac:dyDescent="0.3">
      <c r="J71" s="4"/>
      <c r="K71" s="5"/>
      <c r="N71" s="5"/>
      <c r="P71" s="5"/>
      <c r="Q71" s="5"/>
      <c r="U71" s="4"/>
    </row>
    <row r="72" spans="10:21" x14ac:dyDescent="0.3">
      <c r="J72" s="4"/>
      <c r="K72" s="5"/>
      <c r="N72" s="5"/>
      <c r="P72" s="5"/>
      <c r="Q72" s="5"/>
      <c r="U72" s="4"/>
    </row>
    <row r="73" spans="10:21" x14ac:dyDescent="0.3">
      <c r="J73" s="4"/>
      <c r="K73" s="5"/>
      <c r="N73" s="5"/>
      <c r="P73" s="5"/>
      <c r="Q73" s="5"/>
      <c r="U73" s="4"/>
    </row>
    <row r="74" spans="10:21" x14ac:dyDescent="0.3">
      <c r="J74" s="4"/>
      <c r="K74" s="5"/>
      <c r="N74" s="5"/>
      <c r="P74" s="5"/>
      <c r="Q74" s="5"/>
      <c r="U74" s="4"/>
    </row>
    <row r="75" spans="10:21" x14ac:dyDescent="0.3">
      <c r="J75" s="4"/>
      <c r="K75" s="5"/>
      <c r="N75" s="5"/>
      <c r="P75" s="5"/>
      <c r="Q75" s="5"/>
      <c r="U75" s="4"/>
    </row>
    <row r="76" spans="10:21" x14ac:dyDescent="0.3">
      <c r="J76" s="4"/>
      <c r="K76" s="5"/>
      <c r="N76" s="5"/>
      <c r="P76" s="5"/>
      <c r="Q76" s="5"/>
      <c r="U76" s="4"/>
    </row>
    <row r="77" spans="10:21" x14ac:dyDescent="0.3">
      <c r="J77" s="4"/>
      <c r="K77" s="5"/>
      <c r="N77" s="5"/>
      <c r="P77" s="5"/>
      <c r="Q77" s="5"/>
      <c r="U77" s="4"/>
    </row>
    <row r="78" spans="10:21" x14ac:dyDescent="0.3">
      <c r="J78" s="4"/>
      <c r="K78" s="5"/>
      <c r="N78" s="5"/>
      <c r="P78" s="5"/>
      <c r="Q78" s="5"/>
      <c r="U78" s="4"/>
    </row>
    <row r="79" spans="10:21" x14ac:dyDescent="0.3">
      <c r="J79" s="4"/>
      <c r="K79" s="5"/>
      <c r="N79" s="5"/>
      <c r="P79" s="5"/>
      <c r="Q79" s="5"/>
      <c r="U79" s="4"/>
    </row>
    <row r="80" spans="10:21" x14ac:dyDescent="0.3">
      <c r="J80" s="4"/>
      <c r="K80" s="5"/>
      <c r="N80" s="5"/>
      <c r="P80" s="5"/>
      <c r="Q80" s="5"/>
      <c r="U80" s="4"/>
    </row>
    <row r="81" spans="10:21" x14ac:dyDescent="0.3">
      <c r="J81" s="4"/>
      <c r="K81" s="5"/>
      <c r="N81" s="5"/>
      <c r="P81" s="5"/>
      <c r="Q81" s="5"/>
      <c r="U81" s="4"/>
    </row>
    <row r="82" spans="10:21" x14ac:dyDescent="0.3">
      <c r="J82" s="4"/>
      <c r="K82" s="5"/>
      <c r="N82" s="5"/>
      <c r="P82" s="5"/>
      <c r="Q82" s="5"/>
      <c r="U82" s="4"/>
    </row>
    <row r="83" spans="10:21" x14ac:dyDescent="0.3">
      <c r="J83" s="4"/>
      <c r="K83" s="5"/>
      <c r="N83" s="5"/>
      <c r="U83" s="4"/>
    </row>
    <row r="84" spans="10:21" x14ac:dyDescent="0.3">
      <c r="J84" s="4"/>
      <c r="K84" s="5"/>
      <c r="N84" s="5"/>
      <c r="U84" s="4"/>
    </row>
    <row r="85" spans="10:21" x14ac:dyDescent="0.3">
      <c r="J85" s="4"/>
      <c r="K85" s="5"/>
      <c r="N85" s="5"/>
      <c r="U85" s="4"/>
    </row>
    <row r="86" spans="10:21" x14ac:dyDescent="0.3">
      <c r="J86" s="4"/>
      <c r="K86" s="5"/>
      <c r="N86" s="5"/>
      <c r="U86" s="4"/>
    </row>
    <row r="87" spans="10:21" x14ac:dyDescent="0.3">
      <c r="J87" s="4"/>
      <c r="K87" s="5"/>
      <c r="N87" s="5"/>
      <c r="U87" s="4"/>
    </row>
    <row r="88" spans="10:21" x14ac:dyDescent="0.3">
      <c r="J88" s="4"/>
      <c r="K88" s="5"/>
      <c r="N88" s="5"/>
      <c r="U88" s="4"/>
    </row>
    <row r="89" spans="10:21" x14ac:dyDescent="0.3">
      <c r="J89" s="4"/>
      <c r="K89" s="5"/>
      <c r="N89" s="5"/>
      <c r="U89" s="4"/>
    </row>
    <row r="90" spans="10:21" x14ac:dyDescent="0.3">
      <c r="J90" s="4"/>
      <c r="K90" s="5"/>
      <c r="N90" s="5"/>
      <c r="U90" s="4"/>
    </row>
    <row r="91" spans="10:21" x14ac:dyDescent="0.3">
      <c r="J91" s="4"/>
      <c r="K91" s="5"/>
      <c r="N91" s="5"/>
      <c r="U91" s="4"/>
    </row>
    <row r="92" spans="10:21" x14ac:dyDescent="0.3">
      <c r="J92" s="4"/>
      <c r="K92" s="5"/>
      <c r="N92" s="5"/>
      <c r="U92" s="4"/>
    </row>
    <row r="93" spans="10:21" x14ac:dyDescent="0.3">
      <c r="J93" s="4"/>
      <c r="K93" s="5"/>
      <c r="N93" s="5"/>
      <c r="U93" s="4"/>
    </row>
    <row r="94" spans="10:21" x14ac:dyDescent="0.3">
      <c r="J94" s="4"/>
      <c r="K94" s="5"/>
      <c r="N94" s="5"/>
      <c r="U94" s="4"/>
    </row>
    <row r="95" spans="10:21" x14ac:dyDescent="0.3">
      <c r="J95" s="4"/>
      <c r="K95" s="5"/>
      <c r="N95" s="5"/>
      <c r="U95" s="4"/>
    </row>
    <row r="96" spans="10:21" x14ac:dyDescent="0.3">
      <c r="N96" s="5"/>
      <c r="U96" s="4"/>
    </row>
    <row r="97" spans="21:21" x14ac:dyDescent="0.3">
      <c r="U97" s="4"/>
    </row>
    <row r="98" spans="21:21" x14ac:dyDescent="0.3">
      <c r="U98" s="4"/>
    </row>
    <row r="99" spans="21:21" x14ac:dyDescent="0.3">
      <c r="U99" s="4"/>
    </row>
    <row r="100" spans="21:21" x14ac:dyDescent="0.3">
      <c r="U100" s="4"/>
    </row>
    <row r="101" spans="21:21" x14ac:dyDescent="0.3">
      <c r="U101" s="4"/>
    </row>
    <row r="102" spans="21:21" x14ac:dyDescent="0.3">
      <c r="U102" s="4"/>
    </row>
    <row r="103" spans="21:21" x14ac:dyDescent="0.3">
      <c r="U103" s="4"/>
    </row>
    <row r="104" spans="21:21" x14ac:dyDescent="0.3">
      <c r="U104" s="4"/>
    </row>
    <row r="105" spans="21:21" x14ac:dyDescent="0.3">
      <c r="U105" s="4"/>
    </row>
    <row r="106" spans="21:21" x14ac:dyDescent="0.3">
      <c r="U106" s="4"/>
    </row>
    <row r="107" spans="21:21" x14ac:dyDescent="0.3">
      <c r="U107" s="4"/>
    </row>
    <row r="108" spans="21:21" x14ac:dyDescent="0.3">
      <c r="U108" s="4"/>
    </row>
    <row r="109" spans="21:21" x14ac:dyDescent="0.3">
      <c r="U109" s="4"/>
    </row>
    <row r="110" spans="21:21" x14ac:dyDescent="0.3">
      <c r="U110" s="4"/>
    </row>
    <row r="111" spans="21:21" x14ac:dyDescent="0.3">
      <c r="U111" s="4"/>
    </row>
    <row r="112" spans="21:21" x14ac:dyDescent="0.3">
      <c r="U112" s="4"/>
    </row>
    <row r="113" spans="21:21" x14ac:dyDescent="0.3">
      <c r="U113" s="4"/>
    </row>
    <row r="114" spans="21:21" x14ac:dyDescent="0.3">
      <c r="U114" s="4"/>
    </row>
    <row r="115" spans="21:21" x14ac:dyDescent="0.3">
      <c r="U115" s="4"/>
    </row>
    <row r="116" spans="21:21" x14ac:dyDescent="0.3">
      <c r="U116" s="4"/>
    </row>
    <row r="117" spans="21:21" x14ac:dyDescent="0.3">
      <c r="U117" s="4"/>
    </row>
    <row r="118" spans="21:21" x14ac:dyDescent="0.3">
      <c r="U118" s="4"/>
    </row>
    <row r="119" spans="21:21" x14ac:dyDescent="0.3">
      <c r="U119" s="4"/>
    </row>
    <row r="120" spans="21:21" x14ac:dyDescent="0.3">
      <c r="U120" s="4"/>
    </row>
    <row r="121" spans="21:21" x14ac:dyDescent="0.3">
      <c r="U121" s="4"/>
    </row>
    <row r="122" spans="21:21" x14ac:dyDescent="0.3">
      <c r="U122" s="4"/>
    </row>
    <row r="123" spans="21:21" x14ac:dyDescent="0.3">
      <c r="U123" s="4"/>
    </row>
    <row r="124" spans="21:21" x14ac:dyDescent="0.3">
      <c r="U124" s="4"/>
    </row>
    <row r="125" spans="21:21" x14ac:dyDescent="0.3">
      <c r="U125" s="4"/>
    </row>
    <row r="126" spans="21:21" x14ac:dyDescent="0.3">
      <c r="U126" s="4"/>
    </row>
    <row r="127" spans="21:21" x14ac:dyDescent="0.3">
      <c r="U127" s="4"/>
    </row>
    <row r="128" spans="21:21" x14ac:dyDescent="0.3">
      <c r="U128" s="4"/>
    </row>
    <row r="129" spans="21:21" x14ac:dyDescent="0.3">
      <c r="U129" s="4"/>
    </row>
    <row r="130" spans="21:21" x14ac:dyDescent="0.3">
      <c r="U130" s="4"/>
    </row>
    <row r="131" spans="21:21" x14ac:dyDescent="0.3">
      <c r="U131" s="4"/>
    </row>
    <row r="132" spans="21:21" x14ac:dyDescent="0.3">
      <c r="U132" s="4"/>
    </row>
    <row r="133" spans="21:21" x14ac:dyDescent="0.3">
      <c r="U133" s="4"/>
    </row>
    <row r="134" spans="21:21" x14ac:dyDescent="0.3">
      <c r="U134" s="4"/>
    </row>
    <row r="135" spans="21:21" x14ac:dyDescent="0.3">
      <c r="U135" s="4"/>
    </row>
    <row r="136" spans="21:21" x14ac:dyDescent="0.3">
      <c r="U136" s="4"/>
    </row>
    <row r="137" spans="21:21" x14ac:dyDescent="0.3">
      <c r="U137" s="4"/>
    </row>
    <row r="138" spans="21:21" x14ac:dyDescent="0.3">
      <c r="U138" s="4"/>
    </row>
    <row r="139" spans="21:21" x14ac:dyDescent="0.3">
      <c r="U139" s="4"/>
    </row>
    <row r="140" spans="21:21" x14ac:dyDescent="0.3">
      <c r="U140" s="4"/>
    </row>
    <row r="141" spans="21:21" x14ac:dyDescent="0.3">
      <c r="U141" s="4"/>
    </row>
    <row r="142" spans="21:21" x14ac:dyDescent="0.3">
      <c r="U142" s="4"/>
    </row>
    <row r="143" spans="21:21" x14ac:dyDescent="0.3">
      <c r="U143" s="4"/>
    </row>
    <row r="144" spans="21:21" x14ac:dyDescent="0.3">
      <c r="U144" s="4"/>
    </row>
    <row r="145" spans="21:21" x14ac:dyDescent="0.3">
      <c r="U145" s="4"/>
    </row>
    <row r="146" spans="21:21" x14ac:dyDescent="0.3">
      <c r="U146" s="4"/>
    </row>
    <row r="147" spans="21:21" x14ac:dyDescent="0.3">
      <c r="U147" s="4"/>
    </row>
    <row r="148" spans="21:21" x14ac:dyDescent="0.3">
      <c r="U148" s="4"/>
    </row>
    <row r="149" spans="21:21" x14ac:dyDescent="0.3">
      <c r="U149" s="4"/>
    </row>
    <row r="150" spans="21:21" x14ac:dyDescent="0.3">
      <c r="U150" s="4"/>
    </row>
    <row r="151" spans="21:21" x14ac:dyDescent="0.3">
      <c r="U151" s="4"/>
    </row>
    <row r="152" spans="21:21" x14ac:dyDescent="0.3">
      <c r="U152" s="4"/>
    </row>
    <row r="153" spans="21:21" x14ac:dyDescent="0.3">
      <c r="U153" s="4"/>
    </row>
    <row r="154" spans="21:21" x14ac:dyDescent="0.3">
      <c r="U154" s="4"/>
    </row>
    <row r="155" spans="21:21" x14ac:dyDescent="0.3">
      <c r="U155" s="4"/>
    </row>
    <row r="156" spans="21:21" x14ac:dyDescent="0.3">
      <c r="U156" s="4"/>
    </row>
    <row r="157" spans="21:21" x14ac:dyDescent="0.3">
      <c r="U157" s="4"/>
    </row>
    <row r="158" spans="21:21" x14ac:dyDescent="0.3">
      <c r="U158" s="4"/>
    </row>
    <row r="159" spans="21:21" x14ac:dyDescent="0.3">
      <c r="U159" s="4"/>
    </row>
    <row r="160" spans="21:21" x14ac:dyDescent="0.3">
      <c r="U160" s="4"/>
    </row>
    <row r="161" spans="21:21" x14ac:dyDescent="0.3">
      <c r="U161" s="4"/>
    </row>
    <row r="162" spans="21:21" x14ac:dyDescent="0.3">
      <c r="U162" s="4"/>
    </row>
    <row r="163" spans="21:21" x14ac:dyDescent="0.3">
      <c r="U163" s="4"/>
    </row>
    <row r="164" spans="21:21" x14ac:dyDescent="0.3">
      <c r="U164" s="4"/>
    </row>
    <row r="165" spans="21:21" x14ac:dyDescent="0.3">
      <c r="U165" s="4"/>
    </row>
    <row r="166" spans="21:21" x14ac:dyDescent="0.3">
      <c r="U166" s="4"/>
    </row>
    <row r="167" spans="21:21" x14ac:dyDescent="0.3">
      <c r="U167" s="4"/>
    </row>
    <row r="168" spans="21:21" x14ac:dyDescent="0.3">
      <c r="U168" s="4"/>
    </row>
    <row r="169" spans="21:21" x14ac:dyDescent="0.3">
      <c r="U169" s="4"/>
    </row>
    <row r="170" spans="21:21" x14ac:dyDescent="0.3">
      <c r="U170" s="4"/>
    </row>
    <row r="171" spans="21:21" x14ac:dyDescent="0.3">
      <c r="U171" s="4"/>
    </row>
    <row r="172" spans="21:21" x14ac:dyDescent="0.3">
      <c r="U172" s="4"/>
    </row>
    <row r="173" spans="21:21" x14ac:dyDescent="0.3">
      <c r="U173" s="4"/>
    </row>
    <row r="174" spans="21:21" x14ac:dyDescent="0.3">
      <c r="U174" s="4"/>
    </row>
    <row r="175" spans="21:21" x14ac:dyDescent="0.3">
      <c r="U175" s="4"/>
    </row>
    <row r="176" spans="21:21" x14ac:dyDescent="0.3">
      <c r="U176" s="4"/>
    </row>
    <row r="177" spans="21:21" x14ac:dyDescent="0.3">
      <c r="U177" s="4"/>
    </row>
    <row r="178" spans="21:21" x14ac:dyDescent="0.3">
      <c r="U178" s="4"/>
    </row>
    <row r="179" spans="21:21" x14ac:dyDescent="0.3">
      <c r="U179" s="4"/>
    </row>
    <row r="180" spans="21:21" x14ac:dyDescent="0.3">
      <c r="U180" s="4"/>
    </row>
    <row r="181" spans="21:21" x14ac:dyDescent="0.3">
      <c r="U181" s="4"/>
    </row>
    <row r="182" spans="21:21" x14ac:dyDescent="0.3">
      <c r="U182" s="4"/>
    </row>
    <row r="183" spans="21:21" x14ac:dyDescent="0.3">
      <c r="U183" s="4"/>
    </row>
    <row r="184" spans="21:21" x14ac:dyDescent="0.3">
      <c r="U184" s="4"/>
    </row>
    <row r="185" spans="21:21" x14ac:dyDescent="0.3">
      <c r="U185" s="4"/>
    </row>
    <row r="186" spans="21:21" x14ac:dyDescent="0.3">
      <c r="U186" s="4"/>
    </row>
    <row r="187" spans="21:21" x14ac:dyDescent="0.3">
      <c r="U187" s="4"/>
    </row>
    <row r="188" spans="21:21" x14ac:dyDescent="0.3">
      <c r="U188" s="4"/>
    </row>
    <row r="189" spans="21:21" x14ac:dyDescent="0.3">
      <c r="U189" s="4"/>
    </row>
    <row r="190" spans="21:21" x14ac:dyDescent="0.3">
      <c r="U190" s="4"/>
    </row>
    <row r="191" spans="21:21" x14ac:dyDescent="0.3">
      <c r="U191" s="4"/>
    </row>
    <row r="192" spans="21:21" x14ac:dyDescent="0.3">
      <c r="U192" s="4"/>
    </row>
    <row r="193" spans="21:21" x14ac:dyDescent="0.3">
      <c r="U193" s="4"/>
    </row>
    <row r="194" spans="21:21" x14ac:dyDescent="0.3">
      <c r="U194" s="4"/>
    </row>
    <row r="195" spans="21:21" x14ac:dyDescent="0.3">
      <c r="U195" s="4"/>
    </row>
    <row r="196" spans="21:21" x14ac:dyDescent="0.3">
      <c r="U196" s="4"/>
    </row>
    <row r="197" spans="21:21" x14ac:dyDescent="0.3">
      <c r="U197" s="4"/>
    </row>
    <row r="198" spans="21:21" x14ac:dyDescent="0.3">
      <c r="U198" s="4"/>
    </row>
    <row r="199" spans="21:21" x14ac:dyDescent="0.3">
      <c r="U199" s="4"/>
    </row>
    <row r="200" spans="21:21" x14ac:dyDescent="0.3">
      <c r="U200" s="4"/>
    </row>
    <row r="201" spans="21:21" x14ac:dyDescent="0.3">
      <c r="U201" s="4"/>
    </row>
    <row r="202" spans="21:21" x14ac:dyDescent="0.3">
      <c r="U202" s="4"/>
    </row>
    <row r="203" spans="21:21" x14ac:dyDescent="0.3">
      <c r="U203" s="4"/>
    </row>
    <row r="204" spans="21:21" x14ac:dyDescent="0.3">
      <c r="U204" s="4"/>
    </row>
    <row r="205" spans="21:21" x14ac:dyDescent="0.3">
      <c r="U205" s="4"/>
    </row>
    <row r="206" spans="21:21" x14ac:dyDescent="0.3">
      <c r="U206" s="4"/>
    </row>
    <row r="207" spans="21:21" x14ac:dyDescent="0.3">
      <c r="U207" s="4"/>
    </row>
    <row r="208" spans="21:21" x14ac:dyDescent="0.3">
      <c r="U208" s="4"/>
    </row>
    <row r="209" spans="21:21" x14ac:dyDescent="0.3">
      <c r="U209" s="4"/>
    </row>
    <row r="210" spans="21:21" x14ac:dyDescent="0.3">
      <c r="U210" s="4"/>
    </row>
    <row r="211" spans="21:21" x14ac:dyDescent="0.3">
      <c r="U211" s="4"/>
    </row>
    <row r="212" spans="21:21" x14ac:dyDescent="0.3">
      <c r="U212" s="4"/>
    </row>
    <row r="213" spans="21:21" x14ac:dyDescent="0.3">
      <c r="U213" s="4"/>
    </row>
    <row r="214" spans="21:21" x14ac:dyDescent="0.3">
      <c r="U214" s="4"/>
    </row>
    <row r="215" spans="21:21" x14ac:dyDescent="0.3">
      <c r="U215" s="4"/>
    </row>
    <row r="216" spans="21:21" x14ac:dyDescent="0.3">
      <c r="U216" s="4"/>
    </row>
    <row r="217" spans="21:21" x14ac:dyDescent="0.3">
      <c r="U217" s="4"/>
    </row>
    <row r="218" spans="21:21" x14ac:dyDescent="0.3">
      <c r="U218" s="4"/>
    </row>
    <row r="219" spans="21:21" x14ac:dyDescent="0.3">
      <c r="U219" s="4"/>
    </row>
    <row r="220" spans="21:21" x14ac:dyDescent="0.3">
      <c r="U220" s="4"/>
    </row>
    <row r="221" spans="21:21" x14ac:dyDescent="0.3">
      <c r="U221" s="4"/>
    </row>
    <row r="222" spans="21:21" x14ac:dyDescent="0.3">
      <c r="U222" s="4"/>
    </row>
    <row r="223" spans="21:21" x14ac:dyDescent="0.3">
      <c r="U223" s="4"/>
    </row>
    <row r="224" spans="21:21" x14ac:dyDescent="0.3">
      <c r="U224" s="4"/>
    </row>
    <row r="225" spans="21:21" x14ac:dyDescent="0.3">
      <c r="U225" s="4"/>
    </row>
    <row r="226" spans="21:21" x14ac:dyDescent="0.3">
      <c r="U226" s="4"/>
    </row>
    <row r="227" spans="21:21" x14ac:dyDescent="0.3">
      <c r="U227" s="4"/>
    </row>
    <row r="228" spans="21:21" x14ac:dyDescent="0.3">
      <c r="U228" s="4"/>
    </row>
    <row r="229" spans="21:21" x14ac:dyDescent="0.3">
      <c r="U229" s="4"/>
    </row>
    <row r="230" spans="21:21" x14ac:dyDescent="0.3">
      <c r="U230" s="4"/>
    </row>
    <row r="231" spans="21:21" x14ac:dyDescent="0.3">
      <c r="U231" s="4"/>
    </row>
    <row r="232" spans="21:21" x14ac:dyDescent="0.3">
      <c r="U232" s="4"/>
    </row>
    <row r="233" spans="21:21" x14ac:dyDescent="0.3">
      <c r="U233" s="4"/>
    </row>
    <row r="234" spans="21:21" x14ac:dyDescent="0.3">
      <c r="U234" s="4"/>
    </row>
    <row r="235" spans="21:21" x14ac:dyDescent="0.3">
      <c r="U235" s="4"/>
    </row>
    <row r="236" spans="21:21" x14ac:dyDescent="0.3">
      <c r="U236" s="4"/>
    </row>
    <row r="237" spans="21:21" x14ac:dyDescent="0.3">
      <c r="U237" s="4"/>
    </row>
    <row r="238" spans="21:21" x14ac:dyDescent="0.3">
      <c r="U238" s="4"/>
    </row>
    <row r="239" spans="21:21" x14ac:dyDescent="0.3">
      <c r="U239" s="4"/>
    </row>
    <row r="240" spans="21:21" x14ac:dyDescent="0.3">
      <c r="U240" s="4"/>
    </row>
    <row r="241" spans="21:21" x14ac:dyDescent="0.3">
      <c r="U241" s="4"/>
    </row>
    <row r="242" spans="21:21" x14ac:dyDescent="0.3">
      <c r="U242" s="4"/>
    </row>
    <row r="243" spans="21:21" x14ac:dyDescent="0.3">
      <c r="U243" s="4"/>
    </row>
    <row r="244" spans="21:21" x14ac:dyDescent="0.3">
      <c r="U244" s="4"/>
    </row>
    <row r="245" spans="21:21" x14ac:dyDescent="0.3">
      <c r="U245" s="4"/>
    </row>
    <row r="246" spans="21:21" x14ac:dyDescent="0.3">
      <c r="U246" s="4"/>
    </row>
    <row r="247" spans="21:21" x14ac:dyDescent="0.3">
      <c r="U247" s="4"/>
    </row>
    <row r="248" spans="21:21" x14ac:dyDescent="0.3">
      <c r="U248" s="4"/>
    </row>
    <row r="249" spans="21:21" x14ac:dyDescent="0.3">
      <c r="U249" s="4"/>
    </row>
    <row r="250" spans="21:21" x14ac:dyDescent="0.3">
      <c r="U250" s="4"/>
    </row>
    <row r="251" spans="21:21" x14ac:dyDescent="0.3">
      <c r="U251" s="4"/>
    </row>
    <row r="252" spans="21:21" x14ac:dyDescent="0.3">
      <c r="U252" s="4"/>
    </row>
    <row r="253" spans="21:21" x14ac:dyDescent="0.3">
      <c r="U253" s="4"/>
    </row>
    <row r="254" spans="21:21" x14ac:dyDescent="0.3">
      <c r="U254" s="4"/>
    </row>
    <row r="255" spans="21:21" x14ac:dyDescent="0.3">
      <c r="U255" s="4"/>
    </row>
    <row r="256" spans="21:21" x14ac:dyDescent="0.3">
      <c r="U256" s="4"/>
    </row>
    <row r="257" spans="21:21" x14ac:dyDescent="0.3">
      <c r="U257" s="4"/>
    </row>
    <row r="258" spans="21:21" x14ac:dyDescent="0.3">
      <c r="U258" s="4"/>
    </row>
    <row r="259" spans="21:21" x14ac:dyDescent="0.3">
      <c r="U259" s="4"/>
    </row>
    <row r="260" spans="21:21" x14ac:dyDescent="0.3">
      <c r="U260" s="4"/>
    </row>
    <row r="261" spans="21:21" x14ac:dyDescent="0.3">
      <c r="U261" s="4"/>
    </row>
    <row r="262" spans="21:21" x14ac:dyDescent="0.3">
      <c r="U262" s="4"/>
    </row>
    <row r="263" spans="21:21" x14ac:dyDescent="0.3">
      <c r="U263" s="4"/>
    </row>
    <row r="264" spans="21:21" x14ac:dyDescent="0.3">
      <c r="U264" s="4"/>
    </row>
    <row r="265" spans="21:21" x14ac:dyDescent="0.3">
      <c r="U265" s="4"/>
    </row>
    <row r="266" spans="21:21" x14ac:dyDescent="0.3">
      <c r="U266" s="4"/>
    </row>
    <row r="267" spans="21:21" x14ac:dyDescent="0.3">
      <c r="U267" s="4"/>
    </row>
    <row r="268" spans="21:21" x14ac:dyDescent="0.3">
      <c r="U268" s="4"/>
    </row>
    <row r="269" spans="21:21" x14ac:dyDescent="0.3">
      <c r="U269" s="4"/>
    </row>
    <row r="270" spans="21:21" x14ac:dyDescent="0.3">
      <c r="U270" s="4"/>
    </row>
    <row r="271" spans="21:21" x14ac:dyDescent="0.3">
      <c r="U271" s="4"/>
    </row>
    <row r="272" spans="21:21" x14ac:dyDescent="0.3">
      <c r="U272" s="4"/>
    </row>
    <row r="273" spans="21:21" x14ac:dyDescent="0.3">
      <c r="U273" s="4"/>
    </row>
    <row r="274" spans="21:21" x14ac:dyDescent="0.3">
      <c r="U274" s="4"/>
    </row>
    <row r="275" spans="21:21" x14ac:dyDescent="0.3">
      <c r="U275" s="4"/>
    </row>
    <row r="276" spans="21:21" x14ac:dyDescent="0.3">
      <c r="U276" s="4"/>
    </row>
    <row r="277" spans="21:21" x14ac:dyDescent="0.3">
      <c r="U277" s="4"/>
    </row>
    <row r="278" spans="21:21" x14ac:dyDescent="0.3">
      <c r="U278" s="4"/>
    </row>
    <row r="279" spans="21:21" x14ac:dyDescent="0.3">
      <c r="U279" s="4"/>
    </row>
    <row r="280" spans="21:21" x14ac:dyDescent="0.3">
      <c r="U280" s="4"/>
    </row>
    <row r="281" spans="21:21" x14ac:dyDescent="0.3">
      <c r="U281" s="4"/>
    </row>
    <row r="282" spans="21:21" x14ac:dyDescent="0.3">
      <c r="U282" s="4"/>
    </row>
    <row r="283" spans="21:21" x14ac:dyDescent="0.3">
      <c r="U283" s="4"/>
    </row>
    <row r="284" spans="21:21" x14ac:dyDescent="0.3">
      <c r="U284" s="4"/>
    </row>
    <row r="285" spans="21:21" x14ac:dyDescent="0.3">
      <c r="U285" s="4"/>
    </row>
    <row r="286" spans="21:21" x14ac:dyDescent="0.3">
      <c r="U286" s="4"/>
    </row>
    <row r="287" spans="21:21" x14ac:dyDescent="0.3">
      <c r="U287" s="4"/>
    </row>
    <row r="288" spans="21:21" x14ac:dyDescent="0.3">
      <c r="U288" s="4"/>
    </row>
    <row r="289" spans="21:21" x14ac:dyDescent="0.3">
      <c r="U289" s="4"/>
    </row>
    <row r="290" spans="21:21" x14ac:dyDescent="0.3">
      <c r="U290" s="4"/>
    </row>
    <row r="291" spans="21:21" x14ac:dyDescent="0.3">
      <c r="U291" s="4"/>
    </row>
    <row r="292" spans="21:21" x14ac:dyDescent="0.3">
      <c r="U292" s="4"/>
    </row>
    <row r="293" spans="21:21" x14ac:dyDescent="0.3">
      <c r="U293" s="4"/>
    </row>
    <row r="294" spans="21:21" x14ac:dyDescent="0.3">
      <c r="U294" s="4"/>
    </row>
    <row r="295" spans="21:21" x14ac:dyDescent="0.3">
      <c r="U295" s="4"/>
    </row>
    <row r="296" spans="21:21" x14ac:dyDescent="0.3">
      <c r="U296" s="4"/>
    </row>
    <row r="297" spans="21:21" x14ac:dyDescent="0.3">
      <c r="U297" s="4"/>
    </row>
    <row r="298" spans="21:21" x14ac:dyDescent="0.3">
      <c r="U298" s="4"/>
    </row>
    <row r="299" spans="21:21" x14ac:dyDescent="0.3">
      <c r="U299" s="4"/>
    </row>
    <row r="300" spans="21:21" x14ac:dyDescent="0.3">
      <c r="U300" s="4"/>
    </row>
    <row r="301" spans="21:21" x14ac:dyDescent="0.3">
      <c r="U301" s="4"/>
    </row>
    <row r="302" spans="21:21" x14ac:dyDescent="0.3">
      <c r="U302" s="4"/>
    </row>
    <row r="303" spans="21:21" x14ac:dyDescent="0.3">
      <c r="U303" s="4"/>
    </row>
    <row r="304" spans="21:21" x14ac:dyDescent="0.3">
      <c r="U304" s="4"/>
    </row>
    <row r="305" spans="21:21" x14ac:dyDescent="0.3">
      <c r="U305" s="4"/>
    </row>
    <row r="306" spans="21:21" x14ac:dyDescent="0.3">
      <c r="U306" s="4"/>
    </row>
    <row r="307" spans="21:21" x14ac:dyDescent="0.3">
      <c r="U307" s="4"/>
    </row>
    <row r="308" spans="21:21" x14ac:dyDescent="0.3">
      <c r="U308" s="4"/>
    </row>
    <row r="309" spans="21:21" x14ac:dyDescent="0.3">
      <c r="U309" s="4"/>
    </row>
    <row r="310" spans="21:21" x14ac:dyDescent="0.3">
      <c r="U310" s="4"/>
    </row>
    <row r="311" spans="21:21" x14ac:dyDescent="0.3">
      <c r="U311" s="4"/>
    </row>
    <row r="312" spans="21:21" x14ac:dyDescent="0.3">
      <c r="U312" s="4"/>
    </row>
    <row r="313" spans="21:21" x14ac:dyDescent="0.3">
      <c r="U313" s="4"/>
    </row>
    <row r="314" spans="21:21" x14ac:dyDescent="0.3">
      <c r="U314" s="4"/>
    </row>
    <row r="315" spans="21:21" x14ac:dyDescent="0.3">
      <c r="U315" s="4"/>
    </row>
    <row r="316" spans="21:21" x14ac:dyDescent="0.3">
      <c r="U316" s="4"/>
    </row>
    <row r="317" spans="21:21" x14ac:dyDescent="0.3">
      <c r="U317" s="4"/>
    </row>
    <row r="318" spans="21:21" x14ac:dyDescent="0.3">
      <c r="U318" s="4"/>
    </row>
    <row r="319" spans="21:21" x14ac:dyDescent="0.3">
      <c r="U319" s="4"/>
    </row>
    <row r="320" spans="21:21" x14ac:dyDescent="0.3">
      <c r="U320" s="4"/>
    </row>
    <row r="321" spans="21:21" x14ac:dyDescent="0.3">
      <c r="U321" s="4"/>
    </row>
    <row r="322" spans="21:21" x14ac:dyDescent="0.3">
      <c r="U322" s="4"/>
    </row>
    <row r="323" spans="21:21" x14ac:dyDescent="0.3">
      <c r="U323" s="4"/>
    </row>
    <row r="324" spans="21:21" x14ac:dyDescent="0.3">
      <c r="U324" s="4"/>
    </row>
    <row r="325" spans="21:21" x14ac:dyDescent="0.3">
      <c r="U325" s="4"/>
    </row>
    <row r="326" spans="21:21" x14ac:dyDescent="0.3">
      <c r="U326" s="4"/>
    </row>
    <row r="327" spans="21:21" x14ac:dyDescent="0.3">
      <c r="U327" s="4"/>
    </row>
    <row r="328" spans="21:21" x14ac:dyDescent="0.3">
      <c r="U328" s="4"/>
    </row>
    <row r="329" spans="21:21" x14ac:dyDescent="0.3">
      <c r="U329" s="4"/>
    </row>
    <row r="330" spans="21:21" x14ac:dyDescent="0.3">
      <c r="U330" s="4"/>
    </row>
    <row r="331" spans="21:21" x14ac:dyDescent="0.3">
      <c r="U331" s="4"/>
    </row>
    <row r="332" spans="21:21" x14ac:dyDescent="0.3">
      <c r="U332" s="4"/>
    </row>
    <row r="333" spans="21:21" x14ac:dyDescent="0.3">
      <c r="U333" s="4"/>
    </row>
    <row r="334" spans="21:21" x14ac:dyDescent="0.3">
      <c r="U334" s="4"/>
    </row>
    <row r="335" spans="21:21" x14ac:dyDescent="0.3">
      <c r="U335" s="4"/>
    </row>
    <row r="336" spans="21:21" x14ac:dyDescent="0.3">
      <c r="U336" s="4"/>
    </row>
    <row r="337" spans="21:21" x14ac:dyDescent="0.3">
      <c r="U337" s="4"/>
    </row>
    <row r="338" spans="21:21" x14ac:dyDescent="0.3">
      <c r="U338" s="4"/>
    </row>
    <row r="339" spans="21:21" x14ac:dyDescent="0.3">
      <c r="U339" s="4"/>
    </row>
    <row r="340" spans="21:21" x14ac:dyDescent="0.3">
      <c r="U340" s="4"/>
    </row>
    <row r="341" spans="21:21" x14ac:dyDescent="0.3">
      <c r="U341" s="4"/>
    </row>
    <row r="342" spans="21:21" x14ac:dyDescent="0.3">
      <c r="U342" s="4"/>
    </row>
    <row r="343" spans="21:21" x14ac:dyDescent="0.3">
      <c r="U343" s="4"/>
    </row>
    <row r="344" spans="21:21" x14ac:dyDescent="0.3">
      <c r="U344" s="4"/>
    </row>
    <row r="345" spans="21:21" x14ac:dyDescent="0.3">
      <c r="U345" s="4"/>
    </row>
    <row r="346" spans="21:21" x14ac:dyDescent="0.3">
      <c r="U346" s="4"/>
    </row>
    <row r="347" spans="21:21" x14ac:dyDescent="0.3">
      <c r="U347" s="4"/>
    </row>
    <row r="348" spans="21:21" x14ac:dyDescent="0.3">
      <c r="U348" s="4"/>
    </row>
    <row r="349" spans="21:21" x14ac:dyDescent="0.3">
      <c r="U349" s="4"/>
    </row>
    <row r="350" spans="21:21" x14ac:dyDescent="0.3">
      <c r="U350" s="4"/>
    </row>
    <row r="351" spans="21:21" x14ac:dyDescent="0.3">
      <c r="U351" s="4"/>
    </row>
    <row r="352" spans="21:21" x14ac:dyDescent="0.3">
      <c r="U352" s="4"/>
    </row>
    <row r="353" spans="21:21" x14ac:dyDescent="0.3">
      <c r="U353" s="4"/>
    </row>
    <row r="354" spans="21:21" x14ac:dyDescent="0.3">
      <c r="U354" s="4"/>
    </row>
    <row r="355" spans="21:21" x14ac:dyDescent="0.3">
      <c r="U355" s="4"/>
    </row>
    <row r="356" spans="21:21" x14ac:dyDescent="0.3">
      <c r="U356" s="4"/>
    </row>
    <row r="357" spans="21:21" x14ac:dyDescent="0.3">
      <c r="U357" s="4"/>
    </row>
    <row r="358" spans="21:21" x14ac:dyDescent="0.3">
      <c r="U358" s="4"/>
    </row>
    <row r="359" spans="21:21" x14ac:dyDescent="0.3">
      <c r="U359" s="4"/>
    </row>
    <row r="360" spans="21:21" x14ac:dyDescent="0.3">
      <c r="U360" s="4"/>
    </row>
    <row r="361" spans="21:21" x14ac:dyDescent="0.3">
      <c r="U361" s="4"/>
    </row>
    <row r="362" spans="21:21" x14ac:dyDescent="0.3">
      <c r="U362" s="4"/>
    </row>
    <row r="363" spans="21:21" x14ac:dyDescent="0.3">
      <c r="U363" s="4"/>
    </row>
    <row r="364" spans="21:21" x14ac:dyDescent="0.3">
      <c r="U364" s="4"/>
    </row>
    <row r="365" spans="21:21" x14ac:dyDescent="0.3">
      <c r="U365" s="4"/>
    </row>
    <row r="366" spans="21:21" x14ac:dyDescent="0.3">
      <c r="U366" s="4"/>
    </row>
    <row r="367" spans="21:21" x14ac:dyDescent="0.3">
      <c r="U367" s="4"/>
    </row>
    <row r="368" spans="21:21" x14ac:dyDescent="0.3">
      <c r="U368" s="4"/>
    </row>
    <row r="369" spans="21:21" x14ac:dyDescent="0.3">
      <c r="U369" s="4"/>
    </row>
    <row r="370" spans="21:21" x14ac:dyDescent="0.3">
      <c r="U370" s="4"/>
    </row>
    <row r="371" spans="21:21" x14ac:dyDescent="0.3">
      <c r="U371" s="4"/>
    </row>
    <row r="372" spans="21:21" x14ac:dyDescent="0.3">
      <c r="U372" s="4"/>
    </row>
    <row r="373" spans="21:21" x14ac:dyDescent="0.3">
      <c r="U373" s="4"/>
    </row>
    <row r="374" spans="21:21" x14ac:dyDescent="0.3">
      <c r="U374" s="4"/>
    </row>
    <row r="375" spans="21:21" x14ac:dyDescent="0.3">
      <c r="U375" s="4"/>
    </row>
    <row r="376" spans="21:21" x14ac:dyDescent="0.3">
      <c r="U376" s="4"/>
    </row>
    <row r="377" spans="21:21" x14ac:dyDescent="0.3">
      <c r="U377" s="4"/>
    </row>
    <row r="378" spans="21:21" x14ac:dyDescent="0.3">
      <c r="U378" s="4"/>
    </row>
    <row r="379" spans="21:21" x14ac:dyDescent="0.3">
      <c r="U379" s="4"/>
    </row>
    <row r="380" spans="21:21" x14ac:dyDescent="0.3">
      <c r="U380" s="4"/>
    </row>
    <row r="381" spans="21:21" x14ac:dyDescent="0.3">
      <c r="U381" s="4"/>
    </row>
    <row r="382" spans="21:21" x14ac:dyDescent="0.3">
      <c r="U382" s="4"/>
    </row>
    <row r="383" spans="21:21" x14ac:dyDescent="0.3">
      <c r="U383" s="4"/>
    </row>
    <row r="384" spans="21:21" x14ac:dyDescent="0.3">
      <c r="U384" s="4"/>
    </row>
    <row r="385" spans="21:21" x14ac:dyDescent="0.3">
      <c r="U385" s="4"/>
    </row>
    <row r="386" spans="21:21" x14ac:dyDescent="0.3">
      <c r="U386" s="4"/>
    </row>
    <row r="387" spans="21:21" x14ac:dyDescent="0.3">
      <c r="U387" s="4"/>
    </row>
    <row r="388" spans="21:21" x14ac:dyDescent="0.3">
      <c r="U388" s="4"/>
    </row>
    <row r="389" spans="21:21" x14ac:dyDescent="0.3">
      <c r="U389" s="4"/>
    </row>
    <row r="390" spans="21:21" x14ac:dyDescent="0.3">
      <c r="U390" s="4"/>
    </row>
    <row r="391" spans="21:21" x14ac:dyDescent="0.3">
      <c r="U391" s="4"/>
    </row>
    <row r="392" spans="21:21" x14ac:dyDescent="0.3">
      <c r="U392" s="4"/>
    </row>
    <row r="393" spans="21:21" x14ac:dyDescent="0.3">
      <c r="U393" s="4"/>
    </row>
    <row r="394" spans="21:21" x14ac:dyDescent="0.3">
      <c r="U394" s="4"/>
    </row>
    <row r="395" spans="21:21" x14ac:dyDescent="0.3">
      <c r="U395" s="4"/>
    </row>
    <row r="396" spans="21:21" x14ac:dyDescent="0.3">
      <c r="U396" s="4"/>
    </row>
    <row r="397" spans="21:21" x14ac:dyDescent="0.3">
      <c r="U397" s="4"/>
    </row>
    <row r="398" spans="21:21" x14ac:dyDescent="0.3">
      <c r="U398" s="4"/>
    </row>
    <row r="399" spans="21:21" x14ac:dyDescent="0.3">
      <c r="U399" s="4"/>
    </row>
    <row r="400" spans="21:21" x14ac:dyDescent="0.3">
      <c r="U400" s="4"/>
    </row>
    <row r="401" spans="21:21" x14ac:dyDescent="0.3">
      <c r="U401" s="4"/>
    </row>
    <row r="402" spans="21:21" x14ac:dyDescent="0.3">
      <c r="U402" s="4"/>
    </row>
    <row r="403" spans="21:21" x14ac:dyDescent="0.3">
      <c r="U403" s="4"/>
    </row>
    <row r="404" spans="21:21" x14ac:dyDescent="0.3">
      <c r="U404" s="4"/>
    </row>
    <row r="405" spans="21:21" x14ac:dyDescent="0.3">
      <c r="U405" s="4"/>
    </row>
    <row r="406" spans="21:21" x14ac:dyDescent="0.3">
      <c r="U406" s="4"/>
    </row>
    <row r="407" spans="21:21" x14ac:dyDescent="0.3">
      <c r="U407" s="4"/>
    </row>
    <row r="408" spans="21:21" x14ac:dyDescent="0.3">
      <c r="U408" s="4"/>
    </row>
    <row r="409" spans="21:21" x14ac:dyDescent="0.3">
      <c r="U409" s="4"/>
    </row>
    <row r="410" spans="21:21" x14ac:dyDescent="0.3">
      <c r="U410" s="4"/>
    </row>
    <row r="411" spans="21:21" x14ac:dyDescent="0.3">
      <c r="U411" s="4"/>
    </row>
    <row r="412" spans="21:21" x14ac:dyDescent="0.3">
      <c r="U412" s="4"/>
    </row>
    <row r="413" spans="21:21" x14ac:dyDescent="0.3">
      <c r="U413" s="4"/>
    </row>
    <row r="414" spans="21:21" x14ac:dyDescent="0.3">
      <c r="U414" s="4"/>
    </row>
    <row r="415" spans="21:21" x14ac:dyDescent="0.3">
      <c r="U415" s="4"/>
    </row>
    <row r="416" spans="21:21" x14ac:dyDescent="0.3">
      <c r="U416" s="4"/>
    </row>
    <row r="417" spans="21:21" x14ac:dyDescent="0.3">
      <c r="U417" s="4"/>
    </row>
    <row r="418" spans="21:21" x14ac:dyDescent="0.3">
      <c r="U418" s="4"/>
    </row>
    <row r="419" spans="21:21" x14ac:dyDescent="0.3">
      <c r="U419" s="4"/>
    </row>
    <row r="420" spans="21:21" x14ac:dyDescent="0.3">
      <c r="U420" s="4"/>
    </row>
    <row r="421" spans="21:21" x14ac:dyDescent="0.3">
      <c r="U421" s="4"/>
    </row>
    <row r="422" spans="21:21" x14ac:dyDescent="0.3">
      <c r="U422" s="4"/>
    </row>
    <row r="423" spans="21:21" x14ac:dyDescent="0.3">
      <c r="U423" s="4"/>
    </row>
    <row r="424" spans="21:21" x14ac:dyDescent="0.3">
      <c r="U424" s="4"/>
    </row>
    <row r="425" spans="21:21" x14ac:dyDescent="0.3">
      <c r="U425" s="4"/>
    </row>
    <row r="426" spans="21:21" x14ac:dyDescent="0.3">
      <c r="U426" s="4"/>
    </row>
    <row r="427" spans="21:21" x14ac:dyDescent="0.3">
      <c r="U427" s="4"/>
    </row>
    <row r="428" spans="21:21" x14ac:dyDescent="0.3">
      <c r="U428" s="4"/>
    </row>
    <row r="429" spans="21:21" x14ac:dyDescent="0.3">
      <c r="U429" s="4"/>
    </row>
    <row r="430" spans="21:21" x14ac:dyDescent="0.3">
      <c r="U430" s="4"/>
    </row>
    <row r="431" spans="21:21" x14ac:dyDescent="0.3">
      <c r="U431" s="4"/>
    </row>
    <row r="432" spans="21:21" x14ac:dyDescent="0.3">
      <c r="U432" s="4"/>
    </row>
    <row r="433" spans="21:21" x14ac:dyDescent="0.3">
      <c r="U433" s="4"/>
    </row>
    <row r="434" spans="21:21" x14ac:dyDescent="0.3">
      <c r="U434" s="4"/>
    </row>
    <row r="435" spans="21:21" x14ac:dyDescent="0.3">
      <c r="U435" s="4"/>
    </row>
    <row r="436" spans="21:21" x14ac:dyDescent="0.3">
      <c r="U436" s="4"/>
    </row>
    <row r="437" spans="21:21" x14ac:dyDescent="0.3">
      <c r="U437" s="4"/>
    </row>
    <row r="438" spans="21:21" x14ac:dyDescent="0.3">
      <c r="U438" s="4"/>
    </row>
    <row r="439" spans="21:21" x14ac:dyDescent="0.3">
      <c r="U439" s="4"/>
    </row>
    <row r="440" spans="21:21" x14ac:dyDescent="0.3">
      <c r="U440" s="4"/>
    </row>
    <row r="441" spans="21:21" x14ac:dyDescent="0.3">
      <c r="U441" s="4"/>
    </row>
    <row r="442" spans="21:21" x14ac:dyDescent="0.3">
      <c r="U442" s="4"/>
    </row>
    <row r="443" spans="21:21" x14ac:dyDescent="0.3">
      <c r="U443" s="4"/>
    </row>
    <row r="444" spans="21:21" x14ac:dyDescent="0.3">
      <c r="U444" s="4"/>
    </row>
    <row r="445" spans="21:21" x14ac:dyDescent="0.3">
      <c r="U445" s="4"/>
    </row>
    <row r="446" spans="21:21" x14ac:dyDescent="0.3">
      <c r="U446" s="4"/>
    </row>
    <row r="447" spans="21:21" x14ac:dyDescent="0.3">
      <c r="U447" s="4"/>
    </row>
    <row r="448" spans="21:21" x14ac:dyDescent="0.3">
      <c r="U448" s="4"/>
    </row>
    <row r="449" spans="21:21" x14ac:dyDescent="0.3">
      <c r="U449" s="4"/>
    </row>
    <row r="450" spans="21:21" x14ac:dyDescent="0.3">
      <c r="U450" s="4"/>
    </row>
    <row r="451" spans="21:21" x14ac:dyDescent="0.3">
      <c r="U451" s="4"/>
    </row>
    <row r="452" spans="21:21" x14ac:dyDescent="0.3">
      <c r="U452" s="4"/>
    </row>
    <row r="453" spans="21:21" x14ac:dyDescent="0.3">
      <c r="U453" s="4"/>
    </row>
    <row r="454" spans="21:21" x14ac:dyDescent="0.3">
      <c r="U454" s="4"/>
    </row>
    <row r="455" spans="21:21" x14ac:dyDescent="0.3">
      <c r="U455" s="4"/>
    </row>
    <row r="456" spans="21:21" x14ac:dyDescent="0.3">
      <c r="U456" s="4"/>
    </row>
    <row r="457" spans="21:21" x14ac:dyDescent="0.3">
      <c r="U457" s="4"/>
    </row>
    <row r="458" spans="21:21" x14ac:dyDescent="0.3">
      <c r="U458" s="4"/>
    </row>
    <row r="459" spans="21:21" x14ac:dyDescent="0.3">
      <c r="U459" s="4"/>
    </row>
    <row r="460" spans="21:21" x14ac:dyDescent="0.3">
      <c r="U460" s="4"/>
    </row>
    <row r="461" spans="21:21" x14ac:dyDescent="0.3">
      <c r="U461" s="4"/>
    </row>
    <row r="462" spans="21:21" x14ac:dyDescent="0.3">
      <c r="U462" s="4"/>
    </row>
    <row r="463" spans="21:21" x14ac:dyDescent="0.3">
      <c r="U463" s="4"/>
    </row>
    <row r="464" spans="21:21" x14ac:dyDescent="0.3">
      <c r="U464" s="4"/>
    </row>
    <row r="465" spans="21:21" x14ac:dyDescent="0.3">
      <c r="U465" s="4"/>
    </row>
    <row r="466" spans="21:21" x14ac:dyDescent="0.3">
      <c r="U466" s="4"/>
    </row>
    <row r="467" spans="21:21" x14ac:dyDescent="0.3">
      <c r="U467" s="4"/>
    </row>
    <row r="468" spans="21:21" x14ac:dyDescent="0.3">
      <c r="U468" s="4"/>
    </row>
    <row r="469" spans="21:21" x14ac:dyDescent="0.3">
      <c r="U469" s="4"/>
    </row>
    <row r="470" spans="21:21" x14ac:dyDescent="0.3">
      <c r="U470" s="4"/>
    </row>
    <row r="471" spans="21:21" x14ac:dyDescent="0.3">
      <c r="U471" s="4"/>
    </row>
    <row r="472" spans="21:21" x14ac:dyDescent="0.3">
      <c r="U472" s="4"/>
    </row>
    <row r="473" spans="21:21" x14ac:dyDescent="0.3">
      <c r="U473" s="4"/>
    </row>
    <row r="474" spans="21:21" x14ac:dyDescent="0.3">
      <c r="U474" s="4"/>
    </row>
    <row r="475" spans="21:21" x14ac:dyDescent="0.3">
      <c r="U475" s="4"/>
    </row>
    <row r="476" spans="21:21" x14ac:dyDescent="0.3">
      <c r="U476" s="4"/>
    </row>
    <row r="477" spans="21:21" x14ac:dyDescent="0.3">
      <c r="U477" s="4"/>
    </row>
    <row r="478" spans="21:21" x14ac:dyDescent="0.3">
      <c r="U478" s="4"/>
    </row>
    <row r="479" spans="21:21" x14ac:dyDescent="0.3">
      <c r="U479" s="4"/>
    </row>
    <row r="480" spans="21:21" x14ac:dyDescent="0.3">
      <c r="U480" s="4"/>
    </row>
    <row r="481" spans="21:21" x14ac:dyDescent="0.3">
      <c r="U481" s="4"/>
    </row>
    <row r="482" spans="21:21" x14ac:dyDescent="0.3">
      <c r="U482" s="4"/>
    </row>
    <row r="483" spans="21:21" x14ac:dyDescent="0.3">
      <c r="U483" s="4"/>
    </row>
    <row r="484" spans="21:21" x14ac:dyDescent="0.3">
      <c r="U484" s="4"/>
    </row>
    <row r="485" spans="21:21" x14ac:dyDescent="0.3">
      <c r="U485" s="4"/>
    </row>
    <row r="486" spans="21:21" x14ac:dyDescent="0.3">
      <c r="U486" s="4"/>
    </row>
    <row r="487" spans="21:21" x14ac:dyDescent="0.3">
      <c r="U487" s="4"/>
    </row>
    <row r="488" spans="21:21" x14ac:dyDescent="0.3">
      <c r="U488" s="4"/>
    </row>
    <row r="489" spans="21:21" x14ac:dyDescent="0.3">
      <c r="U489" s="4"/>
    </row>
    <row r="490" spans="21:21" x14ac:dyDescent="0.3">
      <c r="U490" s="4"/>
    </row>
    <row r="491" spans="21:21" x14ac:dyDescent="0.3">
      <c r="U491" s="4"/>
    </row>
    <row r="492" spans="21:21" x14ac:dyDescent="0.3">
      <c r="U492" s="4"/>
    </row>
    <row r="493" spans="21:21" x14ac:dyDescent="0.3">
      <c r="U493" s="4"/>
    </row>
    <row r="494" spans="21:21" x14ac:dyDescent="0.3">
      <c r="U494" s="4"/>
    </row>
    <row r="495" spans="21:21" x14ac:dyDescent="0.3">
      <c r="U495" s="4"/>
    </row>
    <row r="496" spans="21:21" x14ac:dyDescent="0.3">
      <c r="U496" s="4"/>
    </row>
    <row r="497" spans="21:21" x14ac:dyDescent="0.3">
      <c r="U497" s="4"/>
    </row>
    <row r="498" spans="21:21" x14ac:dyDescent="0.3">
      <c r="U498" s="4"/>
    </row>
    <row r="499" spans="21:21" x14ac:dyDescent="0.3">
      <c r="U499" s="4"/>
    </row>
    <row r="500" spans="21:21" x14ac:dyDescent="0.3">
      <c r="U500" s="4"/>
    </row>
    <row r="501" spans="21:21" x14ac:dyDescent="0.3">
      <c r="U501" s="4"/>
    </row>
    <row r="502" spans="21:21" x14ac:dyDescent="0.3">
      <c r="U502" s="4"/>
    </row>
    <row r="503" spans="21:21" x14ac:dyDescent="0.3">
      <c r="U503" s="4"/>
    </row>
    <row r="504" spans="21:21" x14ac:dyDescent="0.3">
      <c r="U504" s="4"/>
    </row>
    <row r="505" spans="21:21" x14ac:dyDescent="0.3">
      <c r="U505" s="4"/>
    </row>
    <row r="506" spans="21:21" x14ac:dyDescent="0.3">
      <c r="U506" s="4"/>
    </row>
    <row r="507" spans="21:21" x14ac:dyDescent="0.3">
      <c r="U507" s="4"/>
    </row>
    <row r="508" spans="21:21" x14ac:dyDescent="0.3">
      <c r="U508" s="4"/>
    </row>
    <row r="509" spans="21:21" x14ac:dyDescent="0.3">
      <c r="U509" s="4"/>
    </row>
    <row r="510" spans="21:21" x14ac:dyDescent="0.3">
      <c r="U510" s="4"/>
    </row>
    <row r="511" spans="21:21" x14ac:dyDescent="0.3">
      <c r="U511" s="4"/>
    </row>
    <row r="512" spans="21:21" x14ac:dyDescent="0.3">
      <c r="U512" s="4"/>
    </row>
    <row r="513" spans="21:21" x14ac:dyDescent="0.3">
      <c r="U513" s="4"/>
    </row>
    <row r="514" spans="21:21" x14ac:dyDescent="0.3">
      <c r="U514" s="4"/>
    </row>
    <row r="515" spans="21:21" x14ac:dyDescent="0.3">
      <c r="U515" s="4"/>
    </row>
    <row r="516" spans="21:21" x14ac:dyDescent="0.3">
      <c r="U516" s="4"/>
    </row>
    <row r="517" spans="21:21" x14ac:dyDescent="0.3">
      <c r="U517" s="4"/>
    </row>
    <row r="518" spans="21:21" x14ac:dyDescent="0.3">
      <c r="U518" s="4"/>
    </row>
    <row r="519" spans="21:21" x14ac:dyDescent="0.3">
      <c r="U519" s="4"/>
    </row>
    <row r="520" spans="21:21" x14ac:dyDescent="0.3">
      <c r="U520" s="4"/>
    </row>
    <row r="521" spans="21:21" x14ac:dyDescent="0.3">
      <c r="U521" s="4"/>
    </row>
    <row r="522" spans="21:21" x14ac:dyDescent="0.3">
      <c r="U522" s="4"/>
    </row>
    <row r="523" spans="21:21" x14ac:dyDescent="0.3">
      <c r="U523" s="4"/>
    </row>
    <row r="524" spans="21:21" x14ac:dyDescent="0.3">
      <c r="U524" s="4"/>
    </row>
    <row r="525" spans="21:21" x14ac:dyDescent="0.3">
      <c r="U525" s="4"/>
    </row>
    <row r="526" spans="21:21" x14ac:dyDescent="0.3">
      <c r="U526" s="4"/>
    </row>
    <row r="527" spans="21:21" x14ac:dyDescent="0.3">
      <c r="U527" s="4"/>
    </row>
    <row r="528" spans="21:21" x14ac:dyDescent="0.3">
      <c r="U528" s="4"/>
    </row>
    <row r="529" spans="21:21" x14ac:dyDescent="0.3">
      <c r="U529" s="4"/>
    </row>
    <row r="530" spans="21:21" x14ac:dyDescent="0.3">
      <c r="U530" s="4"/>
    </row>
    <row r="531" spans="21:21" x14ac:dyDescent="0.3">
      <c r="U531" s="4"/>
    </row>
    <row r="532" spans="21:21" x14ac:dyDescent="0.3">
      <c r="U532" s="4"/>
    </row>
    <row r="533" spans="21:21" x14ac:dyDescent="0.3">
      <c r="U533" s="4"/>
    </row>
    <row r="534" spans="21:21" x14ac:dyDescent="0.3">
      <c r="U534" s="4"/>
    </row>
    <row r="535" spans="21:21" x14ac:dyDescent="0.3">
      <c r="U535" s="4"/>
    </row>
    <row r="536" spans="21:21" x14ac:dyDescent="0.3">
      <c r="U536" s="4"/>
    </row>
    <row r="537" spans="21:21" x14ac:dyDescent="0.3">
      <c r="U537" s="4"/>
    </row>
    <row r="538" spans="21:21" x14ac:dyDescent="0.3">
      <c r="U538" s="4"/>
    </row>
    <row r="539" spans="21:21" x14ac:dyDescent="0.3">
      <c r="U539" s="4"/>
    </row>
    <row r="540" spans="21:21" x14ac:dyDescent="0.3">
      <c r="U540" s="4"/>
    </row>
    <row r="541" spans="21:21" x14ac:dyDescent="0.3">
      <c r="U541" s="4"/>
    </row>
    <row r="542" spans="21:21" x14ac:dyDescent="0.3">
      <c r="U542" s="4"/>
    </row>
    <row r="543" spans="21:21" x14ac:dyDescent="0.3">
      <c r="U543" s="4"/>
    </row>
    <row r="544" spans="21:21" x14ac:dyDescent="0.3">
      <c r="U544" s="4"/>
    </row>
    <row r="545" spans="21:21" x14ac:dyDescent="0.3">
      <c r="U545" s="4"/>
    </row>
    <row r="546" spans="21:21" x14ac:dyDescent="0.3">
      <c r="U546" s="4"/>
    </row>
    <row r="547" spans="21:21" x14ac:dyDescent="0.3">
      <c r="U547" s="4"/>
    </row>
    <row r="548" spans="21:21" x14ac:dyDescent="0.3">
      <c r="U548" s="4"/>
    </row>
    <row r="549" spans="21:21" x14ac:dyDescent="0.3">
      <c r="U549" s="4"/>
    </row>
    <row r="550" spans="21:21" x14ac:dyDescent="0.3">
      <c r="U550" s="4"/>
    </row>
    <row r="551" spans="21:21" x14ac:dyDescent="0.3">
      <c r="U551" s="4"/>
    </row>
    <row r="552" spans="21:21" x14ac:dyDescent="0.3">
      <c r="U552" s="4"/>
    </row>
    <row r="553" spans="21:21" x14ac:dyDescent="0.3">
      <c r="U553" s="4"/>
    </row>
    <row r="554" spans="21:21" x14ac:dyDescent="0.3">
      <c r="U554" s="4"/>
    </row>
    <row r="555" spans="21:21" x14ac:dyDescent="0.3">
      <c r="U555" s="4"/>
    </row>
    <row r="556" spans="21:21" x14ac:dyDescent="0.3">
      <c r="U556" s="4"/>
    </row>
    <row r="557" spans="21:21" x14ac:dyDescent="0.3">
      <c r="U557" s="4"/>
    </row>
    <row r="558" spans="21:21" x14ac:dyDescent="0.3">
      <c r="U558" s="4"/>
    </row>
    <row r="559" spans="21:21" x14ac:dyDescent="0.3">
      <c r="U559" s="4"/>
    </row>
    <row r="560" spans="21:21" x14ac:dyDescent="0.3">
      <c r="U560" s="4"/>
    </row>
    <row r="561" spans="21:21" x14ac:dyDescent="0.3">
      <c r="U561" s="4"/>
    </row>
    <row r="562" spans="21:21" x14ac:dyDescent="0.3">
      <c r="U562" s="4"/>
    </row>
    <row r="563" spans="21:21" x14ac:dyDescent="0.3">
      <c r="U563" s="4"/>
    </row>
    <row r="564" spans="21:21" x14ac:dyDescent="0.3">
      <c r="U564" s="4"/>
    </row>
    <row r="565" spans="21:21" x14ac:dyDescent="0.3">
      <c r="U565" s="4"/>
    </row>
    <row r="566" spans="21:21" x14ac:dyDescent="0.3">
      <c r="U566" s="4"/>
    </row>
    <row r="567" spans="21:21" x14ac:dyDescent="0.3">
      <c r="U567" s="4"/>
    </row>
    <row r="568" spans="21:21" x14ac:dyDescent="0.3">
      <c r="U568" s="4"/>
    </row>
    <row r="569" spans="21:21" x14ac:dyDescent="0.3">
      <c r="U569" s="4"/>
    </row>
    <row r="570" spans="21:21" x14ac:dyDescent="0.3">
      <c r="U570" s="4"/>
    </row>
    <row r="571" spans="21:21" x14ac:dyDescent="0.3">
      <c r="U571" s="4"/>
    </row>
    <row r="572" spans="21:21" x14ac:dyDescent="0.3">
      <c r="U572" s="4"/>
    </row>
    <row r="573" spans="21:21" x14ac:dyDescent="0.3">
      <c r="U573" s="4"/>
    </row>
    <row r="574" spans="21:21" x14ac:dyDescent="0.3">
      <c r="U574" s="4"/>
    </row>
    <row r="575" spans="21:21" x14ac:dyDescent="0.3">
      <c r="U575" s="4"/>
    </row>
    <row r="576" spans="21:21" x14ac:dyDescent="0.3">
      <c r="U576" s="4"/>
    </row>
    <row r="577" spans="21:21" x14ac:dyDescent="0.3">
      <c r="U577" s="4"/>
    </row>
    <row r="578" spans="21:21" x14ac:dyDescent="0.3">
      <c r="U578" s="4"/>
    </row>
    <row r="579" spans="21:21" x14ac:dyDescent="0.3">
      <c r="U579" s="4"/>
    </row>
    <row r="580" spans="21:21" x14ac:dyDescent="0.3">
      <c r="U580" s="4"/>
    </row>
    <row r="581" spans="21:21" x14ac:dyDescent="0.3">
      <c r="U581" s="4"/>
    </row>
    <row r="582" spans="21:21" x14ac:dyDescent="0.3">
      <c r="U582" s="4"/>
    </row>
    <row r="583" spans="21:21" x14ac:dyDescent="0.3">
      <c r="U583" s="4"/>
    </row>
    <row r="584" spans="21:21" x14ac:dyDescent="0.3">
      <c r="U584" s="4"/>
    </row>
    <row r="585" spans="21:21" x14ac:dyDescent="0.3">
      <c r="U585" s="4"/>
    </row>
    <row r="586" spans="21:21" x14ac:dyDescent="0.3">
      <c r="U586" s="4"/>
    </row>
    <row r="587" spans="21:21" x14ac:dyDescent="0.3">
      <c r="U587" s="4"/>
    </row>
    <row r="588" spans="21:21" x14ac:dyDescent="0.3">
      <c r="U588" s="4"/>
    </row>
    <row r="589" spans="21:21" x14ac:dyDescent="0.3">
      <c r="U589" s="4"/>
    </row>
    <row r="590" spans="21:21" x14ac:dyDescent="0.3">
      <c r="U590" s="4"/>
    </row>
    <row r="591" spans="21:21" x14ac:dyDescent="0.3">
      <c r="U591" s="4"/>
    </row>
    <row r="592" spans="21:21" x14ac:dyDescent="0.3">
      <c r="U592" s="4"/>
    </row>
    <row r="593" spans="21:21" x14ac:dyDescent="0.3">
      <c r="U593" s="4"/>
    </row>
    <row r="594" spans="21:21" x14ac:dyDescent="0.3">
      <c r="U594" s="4"/>
    </row>
    <row r="595" spans="21:21" x14ac:dyDescent="0.3">
      <c r="U595" s="4"/>
    </row>
    <row r="596" spans="21:21" x14ac:dyDescent="0.3">
      <c r="U596" s="4"/>
    </row>
    <row r="597" spans="21:21" x14ac:dyDescent="0.3">
      <c r="U597" s="4"/>
    </row>
    <row r="598" spans="21:21" x14ac:dyDescent="0.3">
      <c r="U598" s="4"/>
    </row>
    <row r="599" spans="21:21" x14ac:dyDescent="0.3">
      <c r="U599" s="4"/>
    </row>
    <row r="600" spans="21:21" x14ac:dyDescent="0.3">
      <c r="U600" s="4"/>
    </row>
    <row r="601" spans="21:21" x14ac:dyDescent="0.3">
      <c r="U601" s="4"/>
    </row>
    <row r="602" spans="21:21" x14ac:dyDescent="0.3">
      <c r="U602" s="4"/>
    </row>
    <row r="603" spans="21:21" x14ac:dyDescent="0.3">
      <c r="U603" s="4"/>
    </row>
    <row r="604" spans="21:21" x14ac:dyDescent="0.3">
      <c r="U604" s="4"/>
    </row>
    <row r="605" spans="21:21" x14ac:dyDescent="0.3">
      <c r="U605" s="4"/>
    </row>
    <row r="606" spans="21:21" x14ac:dyDescent="0.3">
      <c r="U606" s="4"/>
    </row>
    <row r="607" spans="21:21" x14ac:dyDescent="0.3">
      <c r="U607" s="4"/>
    </row>
    <row r="608" spans="21:21" x14ac:dyDescent="0.3">
      <c r="U608" s="4"/>
    </row>
    <row r="609" spans="21:21" x14ac:dyDescent="0.3">
      <c r="U609" s="4"/>
    </row>
    <row r="610" spans="21:21" x14ac:dyDescent="0.3">
      <c r="U610" s="4"/>
    </row>
    <row r="611" spans="21:21" x14ac:dyDescent="0.3">
      <c r="U611" s="4"/>
    </row>
    <row r="612" spans="21:21" x14ac:dyDescent="0.3">
      <c r="U612" s="4"/>
    </row>
    <row r="613" spans="21:21" x14ac:dyDescent="0.3">
      <c r="U613" s="4"/>
    </row>
    <row r="614" spans="21:21" x14ac:dyDescent="0.3">
      <c r="U614" s="4"/>
    </row>
    <row r="615" spans="21:21" x14ac:dyDescent="0.3">
      <c r="U615" s="4"/>
    </row>
    <row r="616" spans="21:21" x14ac:dyDescent="0.3">
      <c r="U616" s="4"/>
    </row>
    <row r="617" spans="21:21" x14ac:dyDescent="0.3">
      <c r="U617" s="4"/>
    </row>
    <row r="618" spans="21:21" x14ac:dyDescent="0.3">
      <c r="U618" s="4"/>
    </row>
    <row r="619" spans="21:21" x14ac:dyDescent="0.3">
      <c r="U619" s="4"/>
    </row>
    <row r="620" spans="21:21" x14ac:dyDescent="0.3">
      <c r="U620" s="4"/>
    </row>
    <row r="621" spans="21:21" x14ac:dyDescent="0.3">
      <c r="U621" s="4"/>
    </row>
    <row r="622" spans="21:21" x14ac:dyDescent="0.3">
      <c r="U622" s="4"/>
    </row>
    <row r="623" spans="21:21" x14ac:dyDescent="0.3">
      <c r="U623" s="4"/>
    </row>
    <row r="624" spans="21:21" x14ac:dyDescent="0.3">
      <c r="U624" s="4"/>
    </row>
    <row r="625" spans="21:21" x14ac:dyDescent="0.3">
      <c r="U625" s="4"/>
    </row>
    <row r="626" spans="21:21" x14ac:dyDescent="0.3">
      <c r="U626" s="4"/>
    </row>
    <row r="627" spans="21:21" x14ac:dyDescent="0.3">
      <c r="U627" s="4"/>
    </row>
    <row r="628" spans="21:21" x14ac:dyDescent="0.3">
      <c r="U628" s="4"/>
    </row>
    <row r="629" spans="21:21" x14ac:dyDescent="0.3">
      <c r="U629" s="4"/>
    </row>
    <row r="630" spans="21:21" x14ac:dyDescent="0.3">
      <c r="U630" s="4"/>
    </row>
    <row r="631" spans="21:21" x14ac:dyDescent="0.3">
      <c r="U631" s="4"/>
    </row>
    <row r="632" spans="21:21" x14ac:dyDescent="0.3">
      <c r="U632" s="4"/>
    </row>
    <row r="633" spans="21:21" x14ac:dyDescent="0.3">
      <c r="U633" s="4"/>
    </row>
    <row r="634" spans="21:21" x14ac:dyDescent="0.3">
      <c r="U634" s="4"/>
    </row>
    <row r="635" spans="21:21" x14ac:dyDescent="0.3">
      <c r="U635" s="4"/>
    </row>
    <row r="636" spans="21:21" x14ac:dyDescent="0.3">
      <c r="U636" s="4"/>
    </row>
    <row r="637" spans="21:21" x14ac:dyDescent="0.3">
      <c r="U637" s="4"/>
    </row>
    <row r="638" spans="21:21" x14ac:dyDescent="0.3">
      <c r="U638" s="4"/>
    </row>
    <row r="639" spans="21:21" x14ac:dyDescent="0.3">
      <c r="U639" s="4"/>
    </row>
    <row r="640" spans="21:21" x14ac:dyDescent="0.3">
      <c r="U640" s="4"/>
    </row>
    <row r="641" spans="21:21" x14ac:dyDescent="0.3">
      <c r="U641" s="4"/>
    </row>
    <row r="642" spans="21:21" x14ac:dyDescent="0.3">
      <c r="U642" s="4"/>
    </row>
    <row r="643" spans="21:21" x14ac:dyDescent="0.3">
      <c r="U643" s="4"/>
    </row>
    <row r="644" spans="21:21" x14ac:dyDescent="0.3">
      <c r="U644" s="4"/>
    </row>
    <row r="645" spans="21:21" x14ac:dyDescent="0.3">
      <c r="U645" s="4"/>
    </row>
    <row r="646" spans="21:21" x14ac:dyDescent="0.3">
      <c r="U646" s="4"/>
    </row>
    <row r="647" spans="21:21" x14ac:dyDescent="0.3">
      <c r="U647" s="4"/>
    </row>
    <row r="648" spans="21:21" x14ac:dyDescent="0.3">
      <c r="U648" s="4"/>
    </row>
    <row r="649" spans="21:21" x14ac:dyDescent="0.3">
      <c r="U649" s="4"/>
    </row>
    <row r="650" spans="21:21" x14ac:dyDescent="0.3">
      <c r="U650" s="4"/>
    </row>
    <row r="651" spans="21:21" x14ac:dyDescent="0.3">
      <c r="U651" s="4"/>
    </row>
    <row r="652" spans="21:21" x14ac:dyDescent="0.3">
      <c r="U652" s="4"/>
    </row>
    <row r="653" spans="21:21" x14ac:dyDescent="0.3">
      <c r="U653" s="4"/>
    </row>
    <row r="654" spans="21:21" x14ac:dyDescent="0.3">
      <c r="U654" s="4"/>
    </row>
    <row r="655" spans="21:21" x14ac:dyDescent="0.3">
      <c r="U655" s="4"/>
    </row>
    <row r="656" spans="21:21" x14ac:dyDescent="0.3">
      <c r="U656" s="4"/>
    </row>
    <row r="657" spans="21:21" x14ac:dyDescent="0.3">
      <c r="U657" s="4"/>
    </row>
    <row r="658" spans="21:21" x14ac:dyDescent="0.3">
      <c r="U658" s="4"/>
    </row>
    <row r="659" spans="21:21" x14ac:dyDescent="0.3">
      <c r="U659" s="4"/>
    </row>
    <row r="660" spans="21:21" x14ac:dyDescent="0.3">
      <c r="U660" s="4"/>
    </row>
    <row r="661" spans="21:21" x14ac:dyDescent="0.3">
      <c r="U661" s="4"/>
    </row>
    <row r="662" spans="21:21" x14ac:dyDescent="0.3">
      <c r="U662" s="4"/>
    </row>
    <row r="663" spans="21:21" x14ac:dyDescent="0.3">
      <c r="U663" s="4"/>
    </row>
    <row r="664" spans="21:21" x14ac:dyDescent="0.3">
      <c r="U664" s="4"/>
    </row>
    <row r="665" spans="21:21" x14ac:dyDescent="0.3">
      <c r="U665" s="4"/>
    </row>
    <row r="666" spans="21:21" x14ac:dyDescent="0.3">
      <c r="U666" s="4"/>
    </row>
    <row r="667" spans="21:21" x14ac:dyDescent="0.3">
      <c r="U667" s="4"/>
    </row>
    <row r="668" spans="21:21" x14ac:dyDescent="0.3">
      <c r="U668" s="4"/>
    </row>
    <row r="669" spans="21:21" x14ac:dyDescent="0.3">
      <c r="U669" s="4"/>
    </row>
    <row r="670" spans="21:21" x14ac:dyDescent="0.3">
      <c r="U670" s="4"/>
    </row>
    <row r="671" spans="21:21" x14ac:dyDescent="0.3">
      <c r="U671" s="4"/>
    </row>
    <row r="672" spans="21:21" x14ac:dyDescent="0.3">
      <c r="U672" s="4"/>
    </row>
    <row r="673" spans="21:21" x14ac:dyDescent="0.3">
      <c r="U673" s="4"/>
    </row>
    <row r="674" spans="21:21" x14ac:dyDescent="0.3">
      <c r="U674" s="4"/>
    </row>
    <row r="675" spans="21:21" x14ac:dyDescent="0.3">
      <c r="U675" s="4"/>
    </row>
    <row r="676" spans="21:21" x14ac:dyDescent="0.3">
      <c r="U676" s="4"/>
    </row>
    <row r="677" spans="21:21" x14ac:dyDescent="0.3">
      <c r="U677" s="4"/>
    </row>
    <row r="678" spans="21:21" x14ac:dyDescent="0.3">
      <c r="U678" s="4"/>
    </row>
    <row r="679" spans="21:21" x14ac:dyDescent="0.3">
      <c r="U679" s="4"/>
    </row>
    <row r="680" spans="21:21" x14ac:dyDescent="0.3">
      <c r="U680" s="4"/>
    </row>
    <row r="681" spans="21:21" x14ac:dyDescent="0.3">
      <c r="U681" s="4"/>
    </row>
    <row r="682" spans="21:21" x14ac:dyDescent="0.3">
      <c r="U682" s="4"/>
    </row>
    <row r="683" spans="21:21" x14ac:dyDescent="0.3">
      <c r="U683" s="4"/>
    </row>
    <row r="684" spans="21:21" x14ac:dyDescent="0.3">
      <c r="U684" s="4"/>
    </row>
    <row r="685" spans="21:21" x14ac:dyDescent="0.3">
      <c r="U685" s="4"/>
    </row>
    <row r="686" spans="21:21" x14ac:dyDescent="0.3">
      <c r="U686" s="4"/>
    </row>
    <row r="687" spans="21:21" x14ac:dyDescent="0.3">
      <c r="U687" s="4"/>
    </row>
    <row r="688" spans="21:21" x14ac:dyDescent="0.3">
      <c r="U688" s="4"/>
    </row>
    <row r="689" spans="21:21" x14ac:dyDescent="0.3">
      <c r="U689" s="4"/>
    </row>
    <row r="690" spans="21:21" x14ac:dyDescent="0.3">
      <c r="U690" s="4"/>
    </row>
    <row r="691" spans="21:21" x14ac:dyDescent="0.3">
      <c r="U691" s="4"/>
    </row>
    <row r="692" spans="21:21" x14ac:dyDescent="0.3">
      <c r="U692" s="4"/>
    </row>
    <row r="693" spans="21:21" x14ac:dyDescent="0.3">
      <c r="U693" s="4"/>
    </row>
    <row r="694" spans="21:21" x14ac:dyDescent="0.3">
      <c r="U694" s="4"/>
    </row>
    <row r="695" spans="21:21" x14ac:dyDescent="0.3">
      <c r="U695" s="4"/>
    </row>
    <row r="696" spans="21:21" x14ac:dyDescent="0.3">
      <c r="U696" s="4"/>
    </row>
    <row r="697" spans="21:21" x14ac:dyDescent="0.3">
      <c r="U697" s="4"/>
    </row>
    <row r="698" spans="21:21" x14ac:dyDescent="0.3">
      <c r="U698" s="4"/>
    </row>
    <row r="699" spans="21:21" x14ac:dyDescent="0.3">
      <c r="U699" s="4"/>
    </row>
    <row r="700" spans="21:21" x14ac:dyDescent="0.3">
      <c r="U700" s="4"/>
    </row>
    <row r="701" spans="21:21" x14ac:dyDescent="0.3">
      <c r="U701" s="4"/>
    </row>
    <row r="702" spans="21:21" x14ac:dyDescent="0.3">
      <c r="U702" s="4"/>
    </row>
    <row r="703" spans="21:21" x14ac:dyDescent="0.3">
      <c r="U703" s="4"/>
    </row>
    <row r="704" spans="21:21" x14ac:dyDescent="0.3">
      <c r="U704" s="4"/>
    </row>
    <row r="705" spans="21:21" x14ac:dyDescent="0.3">
      <c r="U705" s="4"/>
    </row>
    <row r="706" spans="21:21" x14ac:dyDescent="0.3">
      <c r="U706" s="4"/>
    </row>
    <row r="707" spans="21:21" x14ac:dyDescent="0.3">
      <c r="U707" s="4"/>
    </row>
    <row r="708" spans="21:21" x14ac:dyDescent="0.3">
      <c r="U708" s="4"/>
    </row>
    <row r="709" spans="21:21" x14ac:dyDescent="0.3">
      <c r="U709" s="4"/>
    </row>
    <row r="710" spans="21:21" x14ac:dyDescent="0.3">
      <c r="U710" s="4"/>
    </row>
    <row r="711" spans="21:21" x14ac:dyDescent="0.3">
      <c r="U711" s="4"/>
    </row>
    <row r="712" spans="21:21" x14ac:dyDescent="0.3">
      <c r="U712" s="4"/>
    </row>
    <row r="713" spans="21:21" x14ac:dyDescent="0.3">
      <c r="U713" s="4"/>
    </row>
    <row r="714" spans="21:21" x14ac:dyDescent="0.3">
      <c r="U714" s="4"/>
    </row>
    <row r="715" spans="21:21" x14ac:dyDescent="0.3">
      <c r="U715" s="4"/>
    </row>
    <row r="716" spans="21:21" x14ac:dyDescent="0.3">
      <c r="U716" s="4"/>
    </row>
    <row r="717" spans="21:21" x14ac:dyDescent="0.3">
      <c r="U717" s="4"/>
    </row>
    <row r="718" spans="21:21" x14ac:dyDescent="0.3">
      <c r="U718" s="4"/>
    </row>
    <row r="719" spans="21:21" x14ac:dyDescent="0.3">
      <c r="U719" s="4"/>
    </row>
    <row r="720" spans="21:21" x14ac:dyDescent="0.3">
      <c r="U720" s="4"/>
    </row>
    <row r="721" spans="21:21" x14ac:dyDescent="0.3">
      <c r="U721" s="4"/>
    </row>
    <row r="722" spans="21:21" x14ac:dyDescent="0.3">
      <c r="U722" s="4"/>
    </row>
    <row r="723" spans="21:21" x14ac:dyDescent="0.3">
      <c r="U723" s="4"/>
    </row>
    <row r="724" spans="21:21" x14ac:dyDescent="0.3">
      <c r="U724" s="4"/>
    </row>
    <row r="725" spans="21:21" x14ac:dyDescent="0.3">
      <c r="U725" s="4"/>
    </row>
    <row r="726" spans="21:21" x14ac:dyDescent="0.3">
      <c r="U726" s="4"/>
    </row>
    <row r="727" spans="21:21" x14ac:dyDescent="0.3">
      <c r="U727" s="4"/>
    </row>
    <row r="728" spans="21:21" x14ac:dyDescent="0.3">
      <c r="U728" s="4"/>
    </row>
    <row r="729" spans="21:21" x14ac:dyDescent="0.3">
      <c r="U729" s="4"/>
    </row>
    <row r="730" spans="21:21" x14ac:dyDescent="0.3">
      <c r="U730" s="4"/>
    </row>
    <row r="731" spans="21:21" x14ac:dyDescent="0.3">
      <c r="U731" s="4"/>
    </row>
    <row r="732" spans="21:21" x14ac:dyDescent="0.3">
      <c r="U732" s="4"/>
    </row>
    <row r="733" spans="21:21" x14ac:dyDescent="0.3">
      <c r="U733" s="4"/>
    </row>
    <row r="734" spans="21:21" x14ac:dyDescent="0.3">
      <c r="U734" s="4"/>
    </row>
    <row r="735" spans="21:21" x14ac:dyDescent="0.3">
      <c r="U735" s="4"/>
    </row>
    <row r="736" spans="21:21" x14ac:dyDescent="0.3">
      <c r="U736" s="4"/>
    </row>
    <row r="737" spans="21:21" x14ac:dyDescent="0.3">
      <c r="U737" s="4"/>
    </row>
    <row r="738" spans="21:21" x14ac:dyDescent="0.3">
      <c r="U738" s="4"/>
    </row>
    <row r="739" spans="21:21" x14ac:dyDescent="0.3">
      <c r="U739" s="4"/>
    </row>
    <row r="740" spans="21:21" x14ac:dyDescent="0.3">
      <c r="U740" s="4"/>
    </row>
    <row r="741" spans="21:21" x14ac:dyDescent="0.3">
      <c r="U741" s="4"/>
    </row>
    <row r="742" spans="21:21" x14ac:dyDescent="0.3">
      <c r="U742" s="4"/>
    </row>
    <row r="743" spans="21:21" x14ac:dyDescent="0.3">
      <c r="U743" s="4"/>
    </row>
    <row r="744" spans="21:21" x14ac:dyDescent="0.3">
      <c r="U744" s="4"/>
    </row>
    <row r="745" spans="21:21" x14ac:dyDescent="0.3">
      <c r="U745" s="4"/>
    </row>
    <row r="746" spans="21:21" x14ac:dyDescent="0.3">
      <c r="U746" s="4"/>
    </row>
    <row r="747" spans="21:21" x14ac:dyDescent="0.3">
      <c r="U747" s="4"/>
    </row>
    <row r="748" spans="21:21" x14ac:dyDescent="0.3">
      <c r="U748" s="4"/>
    </row>
    <row r="749" spans="21:21" x14ac:dyDescent="0.3">
      <c r="U749" s="4"/>
    </row>
    <row r="750" spans="21:21" x14ac:dyDescent="0.3">
      <c r="U750" s="4"/>
    </row>
    <row r="751" spans="21:21" x14ac:dyDescent="0.3">
      <c r="U751" s="4"/>
    </row>
    <row r="752" spans="21:21" x14ac:dyDescent="0.3">
      <c r="U752" s="4"/>
    </row>
    <row r="753" spans="21:21" x14ac:dyDescent="0.3">
      <c r="U753" s="4"/>
    </row>
    <row r="754" spans="21:21" x14ac:dyDescent="0.3">
      <c r="U754" s="4"/>
    </row>
    <row r="755" spans="21:21" x14ac:dyDescent="0.3">
      <c r="U755" s="4"/>
    </row>
    <row r="756" spans="21:21" x14ac:dyDescent="0.3">
      <c r="U756" s="4"/>
    </row>
    <row r="757" spans="21:21" x14ac:dyDescent="0.3">
      <c r="U757" s="4"/>
    </row>
    <row r="758" spans="21:21" x14ac:dyDescent="0.3">
      <c r="U758" s="4"/>
    </row>
    <row r="759" spans="21:21" x14ac:dyDescent="0.3">
      <c r="U759" s="4"/>
    </row>
    <row r="760" spans="21:21" x14ac:dyDescent="0.3">
      <c r="U760" s="4"/>
    </row>
    <row r="761" spans="21:21" x14ac:dyDescent="0.3">
      <c r="U761" s="4"/>
    </row>
    <row r="762" spans="21:21" x14ac:dyDescent="0.3">
      <c r="U762" s="4"/>
    </row>
    <row r="763" spans="21:21" x14ac:dyDescent="0.3">
      <c r="U763" s="4"/>
    </row>
    <row r="764" spans="21:21" x14ac:dyDescent="0.3">
      <c r="U764" s="4"/>
    </row>
    <row r="765" spans="21:21" x14ac:dyDescent="0.3">
      <c r="U765" s="4"/>
    </row>
    <row r="766" spans="21:21" x14ac:dyDescent="0.3">
      <c r="U766" s="4"/>
    </row>
    <row r="767" spans="21:21" x14ac:dyDescent="0.3">
      <c r="U767" s="4"/>
    </row>
    <row r="768" spans="21:21" x14ac:dyDescent="0.3">
      <c r="U768" s="4"/>
    </row>
    <row r="769" spans="21:21" x14ac:dyDescent="0.3">
      <c r="U769" s="4"/>
    </row>
    <row r="770" spans="21:21" x14ac:dyDescent="0.3">
      <c r="U770" s="4"/>
    </row>
    <row r="771" spans="21:21" x14ac:dyDescent="0.3">
      <c r="U771" s="4"/>
    </row>
    <row r="772" spans="21:21" x14ac:dyDescent="0.3">
      <c r="U772" s="4"/>
    </row>
    <row r="773" spans="21:21" x14ac:dyDescent="0.3">
      <c r="U773" s="4"/>
    </row>
    <row r="774" spans="21:21" x14ac:dyDescent="0.3">
      <c r="U774" s="4"/>
    </row>
    <row r="775" spans="21:21" x14ac:dyDescent="0.3">
      <c r="U775" s="4"/>
    </row>
    <row r="776" spans="21:21" x14ac:dyDescent="0.3">
      <c r="U776" s="4"/>
    </row>
    <row r="777" spans="21:21" x14ac:dyDescent="0.3">
      <c r="U777" s="4"/>
    </row>
    <row r="778" spans="21:21" x14ac:dyDescent="0.3">
      <c r="U778" s="4"/>
    </row>
    <row r="779" spans="21:21" x14ac:dyDescent="0.3">
      <c r="U779" s="4"/>
    </row>
    <row r="780" spans="21:21" x14ac:dyDescent="0.3">
      <c r="U780" s="4"/>
    </row>
    <row r="781" spans="21:21" x14ac:dyDescent="0.3">
      <c r="U781" s="4"/>
    </row>
    <row r="782" spans="21:21" x14ac:dyDescent="0.3">
      <c r="U782" s="4"/>
    </row>
    <row r="783" spans="21:21" x14ac:dyDescent="0.3">
      <c r="U783" s="4"/>
    </row>
    <row r="784" spans="21:21" x14ac:dyDescent="0.3">
      <c r="U784" s="4"/>
    </row>
    <row r="785" spans="21:21" x14ac:dyDescent="0.3">
      <c r="U785" s="4"/>
    </row>
    <row r="786" spans="21:21" x14ac:dyDescent="0.3">
      <c r="U786" s="4"/>
    </row>
    <row r="787" spans="21:21" x14ac:dyDescent="0.3">
      <c r="U787" s="4"/>
    </row>
    <row r="788" spans="21:21" x14ac:dyDescent="0.3">
      <c r="U788" s="4"/>
    </row>
    <row r="789" spans="21:21" x14ac:dyDescent="0.3">
      <c r="U789" s="4"/>
    </row>
    <row r="790" spans="21:21" x14ac:dyDescent="0.3">
      <c r="U790" s="4"/>
    </row>
    <row r="791" spans="21:21" x14ac:dyDescent="0.3">
      <c r="U791" s="4"/>
    </row>
    <row r="792" spans="21:21" x14ac:dyDescent="0.3">
      <c r="U792" s="4"/>
    </row>
    <row r="793" spans="21:21" x14ac:dyDescent="0.3">
      <c r="U793" s="4"/>
    </row>
    <row r="794" spans="21:21" x14ac:dyDescent="0.3">
      <c r="U794" s="4"/>
    </row>
    <row r="795" spans="21:21" x14ac:dyDescent="0.3">
      <c r="U795" s="4"/>
    </row>
    <row r="796" spans="21:21" x14ac:dyDescent="0.3">
      <c r="U796" s="4"/>
    </row>
    <row r="797" spans="21:21" x14ac:dyDescent="0.3">
      <c r="U797" s="4"/>
    </row>
    <row r="798" spans="21:21" x14ac:dyDescent="0.3">
      <c r="U798" s="4"/>
    </row>
    <row r="799" spans="21:21" x14ac:dyDescent="0.3">
      <c r="U799" s="4"/>
    </row>
    <row r="800" spans="21:21" x14ac:dyDescent="0.3">
      <c r="U800" s="4"/>
    </row>
    <row r="801" spans="21:21" x14ac:dyDescent="0.3">
      <c r="U801" s="4"/>
    </row>
    <row r="802" spans="21:21" x14ac:dyDescent="0.3">
      <c r="U802" s="4"/>
    </row>
    <row r="803" spans="21:21" x14ac:dyDescent="0.3">
      <c r="U803" s="4"/>
    </row>
    <row r="804" spans="21:21" x14ac:dyDescent="0.3">
      <c r="U804" s="4"/>
    </row>
    <row r="805" spans="21:21" x14ac:dyDescent="0.3">
      <c r="U805" s="4"/>
    </row>
    <row r="806" spans="21:21" x14ac:dyDescent="0.3">
      <c r="U806" s="4"/>
    </row>
    <row r="807" spans="21:21" x14ac:dyDescent="0.3">
      <c r="U807" s="4"/>
    </row>
    <row r="808" spans="21:21" x14ac:dyDescent="0.3">
      <c r="U808" s="4"/>
    </row>
    <row r="809" spans="21:21" x14ac:dyDescent="0.3">
      <c r="U809" s="4"/>
    </row>
    <row r="810" spans="21:21" x14ac:dyDescent="0.3">
      <c r="U810" s="4"/>
    </row>
    <row r="811" spans="21:21" x14ac:dyDescent="0.3">
      <c r="U811" s="4"/>
    </row>
    <row r="812" spans="21:21" x14ac:dyDescent="0.3">
      <c r="U812" s="4"/>
    </row>
    <row r="813" spans="21:21" x14ac:dyDescent="0.3">
      <c r="U813" s="4"/>
    </row>
    <row r="814" spans="21:21" x14ac:dyDescent="0.3">
      <c r="U814" s="4"/>
    </row>
    <row r="815" spans="21:21" x14ac:dyDescent="0.3">
      <c r="U815" s="4"/>
    </row>
    <row r="816" spans="21:21" x14ac:dyDescent="0.3">
      <c r="U816" s="4"/>
    </row>
    <row r="817" spans="21:21" x14ac:dyDescent="0.3">
      <c r="U817" s="4"/>
    </row>
    <row r="818" spans="21:21" x14ac:dyDescent="0.3">
      <c r="U818" s="4"/>
    </row>
    <row r="819" spans="21:21" x14ac:dyDescent="0.3">
      <c r="U819" s="4"/>
    </row>
    <row r="820" spans="21:21" x14ac:dyDescent="0.3">
      <c r="U820" s="4"/>
    </row>
    <row r="821" spans="21:21" x14ac:dyDescent="0.3">
      <c r="U821" s="4"/>
    </row>
    <row r="822" spans="21:21" x14ac:dyDescent="0.3">
      <c r="U822" s="4"/>
    </row>
    <row r="823" spans="21:21" x14ac:dyDescent="0.3">
      <c r="U823" s="4"/>
    </row>
    <row r="824" spans="21:21" x14ac:dyDescent="0.3">
      <c r="U824" s="4"/>
    </row>
    <row r="825" spans="21:21" x14ac:dyDescent="0.3">
      <c r="U825" s="4"/>
    </row>
    <row r="826" spans="21:21" x14ac:dyDescent="0.3">
      <c r="U826" s="4"/>
    </row>
    <row r="827" spans="21:21" x14ac:dyDescent="0.3">
      <c r="U827" s="4"/>
    </row>
    <row r="828" spans="21:21" x14ac:dyDescent="0.3">
      <c r="U828" s="4"/>
    </row>
    <row r="829" spans="21:21" x14ac:dyDescent="0.3">
      <c r="U829" s="4"/>
    </row>
    <row r="830" spans="21:21" x14ac:dyDescent="0.3">
      <c r="U830" s="4"/>
    </row>
    <row r="831" spans="21:21" x14ac:dyDescent="0.3">
      <c r="U831" s="4"/>
    </row>
    <row r="832" spans="21:21" x14ac:dyDescent="0.3">
      <c r="U832" s="4"/>
    </row>
    <row r="833" spans="21:21" x14ac:dyDescent="0.3">
      <c r="U833" s="4"/>
    </row>
    <row r="834" spans="21:21" x14ac:dyDescent="0.3">
      <c r="U834" s="4"/>
    </row>
    <row r="835" spans="21:21" x14ac:dyDescent="0.3">
      <c r="U835" s="4"/>
    </row>
    <row r="836" spans="21:21" x14ac:dyDescent="0.3">
      <c r="U836" s="4"/>
    </row>
    <row r="837" spans="21:21" x14ac:dyDescent="0.3">
      <c r="U837" s="4"/>
    </row>
    <row r="838" spans="21:21" x14ac:dyDescent="0.3">
      <c r="U838" s="4"/>
    </row>
    <row r="839" spans="21:21" x14ac:dyDescent="0.3">
      <c r="U839" s="4"/>
    </row>
    <row r="840" spans="21:21" x14ac:dyDescent="0.3">
      <c r="U840" s="4"/>
    </row>
    <row r="841" spans="21:21" x14ac:dyDescent="0.3">
      <c r="U841" s="4"/>
    </row>
    <row r="842" spans="21:21" x14ac:dyDescent="0.3">
      <c r="U842" s="4"/>
    </row>
    <row r="843" spans="21:21" x14ac:dyDescent="0.3">
      <c r="U843" s="4"/>
    </row>
    <row r="844" spans="21:21" x14ac:dyDescent="0.3">
      <c r="U844" s="4"/>
    </row>
    <row r="845" spans="21:21" x14ac:dyDescent="0.3">
      <c r="U845" s="4"/>
    </row>
    <row r="846" spans="21:21" x14ac:dyDescent="0.3">
      <c r="U846" s="4"/>
    </row>
    <row r="847" spans="21:21" x14ac:dyDescent="0.3">
      <c r="U847" s="4"/>
    </row>
    <row r="848" spans="21:21" x14ac:dyDescent="0.3">
      <c r="U848" s="4"/>
    </row>
    <row r="849" spans="21:21" x14ac:dyDescent="0.3">
      <c r="U849" s="4"/>
    </row>
    <row r="850" spans="21:21" x14ac:dyDescent="0.3">
      <c r="U850" s="4"/>
    </row>
    <row r="851" spans="21:21" x14ac:dyDescent="0.3">
      <c r="U851" s="4"/>
    </row>
    <row r="852" spans="21:21" x14ac:dyDescent="0.3">
      <c r="U852" s="4"/>
    </row>
    <row r="853" spans="21:21" x14ac:dyDescent="0.3">
      <c r="U853" s="4"/>
    </row>
    <row r="854" spans="21:21" x14ac:dyDescent="0.3">
      <c r="U854" s="4"/>
    </row>
    <row r="855" spans="21:21" x14ac:dyDescent="0.3">
      <c r="U855" s="4"/>
    </row>
    <row r="856" spans="21:21" x14ac:dyDescent="0.3">
      <c r="U856" s="4"/>
    </row>
    <row r="857" spans="21:21" x14ac:dyDescent="0.3">
      <c r="U857" s="4"/>
    </row>
    <row r="858" spans="21:21" x14ac:dyDescent="0.3">
      <c r="U858" s="4"/>
    </row>
    <row r="859" spans="21:21" x14ac:dyDescent="0.3">
      <c r="U859" s="4"/>
    </row>
    <row r="860" spans="21:21" x14ac:dyDescent="0.3">
      <c r="U860" s="4"/>
    </row>
    <row r="861" spans="21:21" x14ac:dyDescent="0.3">
      <c r="U861" s="4"/>
    </row>
    <row r="862" spans="21:21" x14ac:dyDescent="0.3">
      <c r="U862" s="4"/>
    </row>
    <row r="863" spans="21:21" x14ac:dyDescent="0.3">
      <c r="U863" s="4"/>
    </row>
    <row r="864" spans="21:21" x14ac:dyDescent="0.3">
      <c r="U864" s="4"/>
    </row>
    <row r="865" spans="21:21" x14ac:dyDescent="0.3">
      <c r="U865" s="4"/>
    </row>
    <row r="866" spans="21:21" x14ac:dyDescent="0.3">
      <c r="U866" s="4"/>
    </row>
    <row r="867" spans="21:21" x14ac:dyDescent="0.3">
      <c r="U867" s="4"/>
    </row>
    <row r="868" spans="21:21" x14ac:dyDescent="0.3">
      <c r="U868" s="4"/>
    </row>
    <row r="869" spans="21:21" x14ac:dyDescent="0.3">
      <c r="U869" s="4"/>
    </row>
    <row r="870" spans="21:21" x14ac:dyDescent="0.3">
      <c r="U870" s="4"/>
    </row>
    <row r="871" spans="21:21" x14ac:dyDescent="0.3">
      <c r="U871" s="4"/>
    </row>
    <row r="872" spans="21:21" x14ac:dyDescent="0.3">
      <c r="U872" s="4"/>
    </row>
    <row r="873" spans="21:21" x14ac:dyDescent="0.3">
      <c r="U873" s="4"/>
    </row>
    <row r="874" spans="21:21" x14ac:dyDescent="0.3">
      <c r="U874" s="4"/>
    </row>
    <row r="875" spans="21:21" x14ac:dyDescent="0.3">
      <c r="U875" s="4"/>
    </row>
    <row r="876" spans="21:21" x14ac:dyDescent="0.3">
      <c r="U876" s="4"/>
    </row>
    <row r="877" spans="21:21" x14ac:dyDescent="0.3">
      <c r="U877" s="4"/>
    </row>
    <row r="878" spans="21:21" x14ac:dyDescent="0.3">
      <c r="U878" s="4"/>
    </row>
    <row r="879" spans="21:21" x14ac:dyDescent="0.3">
      <c r="U879" s="4"/>
    </row>
    <row r="880" spans="21:21" x14ac:dyDescent="0.3">
      <c r="U880" s="4"/>
    </row>
    <row r="881" spans="21:21" x14ac:dyDescent="0.3">
      <c r="U881" s="4"/>
    </row>
    <row r="882" spans="21:21" x14ac:dyDescent="0.3">
      <c r="U882" s="4"/>
    </row>
    <row r="883" spans="21:21" x14ac:dyDescent="0.3">
      <c r="U883" s="4"/>
    </row>
    <row r="884" spans="21:21" x14ac:dyDescent="0.3">
      <c r="U884" s="4"/>
    </row>
    <row r="885" spans="21:21" x14ac:dyDescent="0.3">
      <c r="U885" s="4"/>
    </row>
    <row r="886" spans="21:21" x14ac:dyDescent="0.3">
      <c r="U886" s="4"/>
    </row>
    <row r="887" spans="21:21" x14ac:dyDescent="0.3">
      <c r="U887" s="4"/>
    </row>
    <row r="888" spans="21:21" x14ac:dyDescent="0.3">
      <c r="U888" s="4"/>
    </row>
    <row r="889" spans="21:21" x14ac:dyDescent="0.3">
      <c r="U889" s="4"/>
    </row>
    <row r="890" spans="21:21" x14ac:dyDescent="0.3">
      <c r="U890" s="4"/>
    </row>
    <row r="891" spans="21:21" x14ac:dyDescent="0.3">
      <c r="U891" s="4"/>
    </row>
    <row r="892" spans="21:21" x14ac:dyDescent="0.3">
      <c r="U892" s="4"/>
    </row>
    <row r="893" spans="21:21" x14ac:dyDescent="0.3">
      <c r="U893" s="4"/>
    </row>
    <row r="894" spans="21:21" x14ac:dyDescent="0.3">
      <c r="U894" s="4"/>
    </row>
    <row r="895" spans="21:21" x14ac:dyDescent="0.3">
      <c r="U895" s="4"/>
    </row>
    <row r="896" spans="21:21" x14ac:dyDescent="0.3">
      <c r="U896" s="4"/>
    </row>
    <row r="897" spans="21:21" x14ac:dyDescent="0.3">
      <c r="U897" s="4"/>
    </row>
    <row r="898" spans="21:21" x14ac:dyDescent="0.3">
      <c r="U898" s="4"/>
    </row>
    <row r="899" spans="21:21" x14ac:dyDescent="0.3">
      <c r="U899" s="4"/>
    </row>
    <row r="900" spans="21:21" x14ac:dyDescent="0.3">
      <c r="U900" s="4"/>
    </row>
    <row r="901" spans="21:21" x14ac:dyDescent="0.3">
      <c r="U901" s="4"/>
    </row>
    <row r="902" spans="21:21" x14ac:dyDescent="0.3">
      <c r="U902" s="4"/>
    </row>
    <row r="903" spans="21:21" x14ac:dyDescent="0.3">
      <c r="U903" s="4"/>
    </row>
    <row r="904" spans="21:21" x14ac:dyDescent="0.3">
      <c r="U904" s="4"/>
    </row>
    <row r="905" spans="21:21" x14ac:dyDescent="0.3">
      <c r="U905" s="4"/>
    </row>
    <row r="906" spans="21:21" x14ac:dyDescent="0.3">
      <c r="U906" s="4"/>
    </row>
    <row r="907" spans="21:21" x14ac:dyDescent="0.3">
      <c r="U907" s="4"/>
    </row>
    <row r="908" spans="21:21" x14ac:dyDescent="0.3">
      <c r="U908" s="4"/>
    </row>
    <row r="909" spans="21:21" x14ac:dyDescent="0.3">
      <c r="U909" s="4"/>
    </row>
    <row r="910" spans="21:21" x14ac:dyDescent="0.3">
      <c r="U910" s="4"/>
    </row>
    <row r="911" spans="21:21" x14ac:dyDescent="0.3">
      <c r="U911" s="4"/>
    </row>
    <row r="912" spans="21:21" x14ac:dyDescent="0.3">
      <c r="U912" s="4"/>
    </row>
    <row r="913" spans="21:21" x14ac:dyDescent="0.3">
      <c r="U913" s="4"/>
    </row>
    <row r="914" spans="21:21" x14ac:dyDescent="0.3">
      <c r="U914" s="4"/>
    </row>
    <row r="915" spans="21:21" x14ac:dyDescent="0.3">
      <c r="U915" s="4"/>
    </row>
    <row r="916" spans="21:21" x14ac:dyDescent="0.3">
      <c r="U916" s="4"/>
    </row>
    <row r="917" spans="21:21" x14ac:dyDescent="0.3">
      <c r="U917" s="4"/>
    </row>
    <row r="918" spans="21:21" x14ac:dyDescent="0.3">
      <c r="U918" s="4"/>
    </row>
    <row r="919" spans="21:21" x14ac:dyDescent="0.3">
      <c r="U919" s="4"/>
    </row>
    <row r="920" spans="21:21" x14ac:dyDescent="0.3">
      <c r="U920" s="4"/>
    </row>
    <row r="921" spans="21:21" x14ac:dyDescent="0.3">
      <c r="U921" s="4"/>
    </row>
    <row r="922" spans="21:21" x14ac:dyDescent="0.3">
      <c r="U922" s="4"/>
    </row>
    <row r="923" spans="21:21" x14ac:dyDescent="0.3">
      <c r="U923" s="4"/>
    </row>
    <row r="924" spans="21:21" x14ac:dyDescent="0.3">
      <c r="U924" s="4"/>
    </row>
    <row r="925" spans="21:21" x14ac:dyDescent="0.3">
      <c r="U925" s="4"/>
    </row>
    <row r="926" spans="21:21" x14ac:dyDescent="0.3">
      <c r="U926" s="4"/>
    </row>
    <row r="927" spans="21:21" x14ac:dyDescent="0.3">
      <c r="U927" s="4"/>
    </row>
    <row r="928" spans="21:21" x14ac:dyDescent="0.3">
      <c r="U928" s="4"/>
    </row>
    <row r="929" spans="21:21" x14ac:dyDescent="0.3">
      <c r="U929" s="4"/>
    </row>
    <row r="930" spans="21:21" x14ac:dyDescent="0.3">
      <c r="U930" s="4"/>
    </row>
    <row r="931" spans="21:21" x14ac:dyDescent="0.3">
      <c r="U931" s="4"/>
    </row>
    <row r="932" spans="21:21" x14ac:dyDescent="0.3">
      <c r="U932" s="4"/>
    </row>
    <row r="933" spans="21:21" x14ac:dyDescent="0.3">
      <c r="U933" s="4"/>
    </row>
    <row r="934" spans="21:21" x14ac:dyDescent="0.3">
      <c r="U934" s="4"/>
    </row>
    <row r="935" spans="21:21" x14ac:dyDescent="0.3">
      <c r="U935" s="4"/>
    </row>
    <row r="936" spans="21:21" x14ac:dyDescent="0.3">
      <c r="U936" s="4"/>
    </row>
    <row r="937" spans="21:21" x14ac:dyDescent="0.3">
      <c r="U937" s="4"/>
    </row>
    <row r="938" spans="21:21" x14ac:dyDescent="0.3">
      <c r="U938" s="4"/>
    </row>
    <row r="939" spans="21:21" x14ac:dyDescent="0.3">
      <c r="U939" s="4"/>
    </row>
    <row r="940" spans="21:21" x14ac:dyDescent="0.3">
      <c r="U940" s="4"/>
    </row>
    <row r="941" spans="21:21" x14ac:dyDescent="0.3">
      <c r="U941" s="4"/>
    </row>
    <row r="942" spans="21:21" x14ac:dyDescent="0.3">
      <c r="U942" s="4"/>
    </row>
    <row r="943" spans="21:21" x14ac:dyDescent="0.3">
      <c r="U943" s="4"/>
    </row>
    <row r="944" spans="21:21" x14ac:dyDescent="0.3">
      <c r="U944" s="4"/>
    </row>
    <row r="945" spans="21:21" x14ac:dyDescent="0.3">
      <c r="U945" s="4"/>
    </row>
    <row r="946" spans="21:21" x14ac:dyDescent="0.3">
      <c r="U946" s="4"/>
    </row>
    <row r="947" spans="21:21" x14ac:dyDescent="0.3">
      <c r="U947" s="4"/>
    </row>
    <row r="948" spans="21:21" x14ac:dyDescent="0.3">
      <c r="U948" s="4"/>
    </row>
    <row r="949" spans="21:21" x14ac:dyDescent="0.3">
      <c r="U949" s="4"/>
    </row>
    <row r="950" spans="21:21" x14ac:dyDescent="0.3">
      <c r="U950" s="4"/>
    </row>
    <row r="951" spans="21:21" x14ac:dyDescent="0.3">
      <c r="U951" s="4"/>
    </row>
    <row r="952" spans="21:21" x14ac:dyDescent="0.3">
      <c r="U952" s="4"/>
    </row>
    <row r="953" spans="21:21" x14ac:dyDescent="0.3">
      <c r="U953" s="4"/>
    </row>
    <row r="954" spans="21:21" x14ac:dyDescent="0.3">
      <c r="U954" s="4"/>
    </row>
    <row r="955" spans="21:21" x14ac:dyDescent="0.3">
      <c r="U955" s="4"/>
    </row>
    <row r="956" spans="21:21" x14ac:dyDescent="0.3">
      <c r="U956" s="4"/>
    </row>
    <row r="957" spans="21:21" x14ac:dyDescent="0.3">
      <c r="U957" s="4"/>
    </row>
    <row r="958" spans="21:21" x14ac:dyDescent="0.3">
      <c r="U958" s="4"/>
    </row>
    <row r="959" spans="21:21" x14ac:dyDescent="0.3">
      <c r="U959" s="4"/>
    </row>
    <row r="960" spans="21:21" x14ac:dyDescent="0.3">
      <c r="U960" s="4"/>
    </row>
    <row r="961" spans="21:21" x14ac:dyDescent="0.3">
      <c r="U961" s="4"/>
    </row>
    <row r="962" spans="21:21" x14ac:dyDescent="0.3">
      <c r="U962" s="4"/>
    </row>
    <row r="963" spans="21:21" x14ac:dyDescent="0.3">
      <c r="U963" s="4"/>
    </row>
    <row r="964" spans="21:21" x14ac:dyDescent="0.3">
      <c r="U964" s="4"/>
    </row>
    <row r="965" spans="21:21" x14ac:dyDescent="0.3">
      <c r="U965" s="4"/>
    </row>
    <row r="966" spans="21:21" x14ac:dyDescent="0.3">
      <c r="U966" s="4"/>
    </row>
    <row r="967" spans="21:21" x14ac:dyDescent="0.3">
      <c r="U967" s="4"/>
    </row>
    <row r="968" spans="21:21" x14ac:dyDescent="0.3">
      <c r="U968" s="4"/>
    </row>
    <row r="969" spans="21:21" x14ac:dyDescent="0.3">
      <c r="U969" s="4"/>
    </row>
    <row r="970" spans="21:21" x14ac:dyDescent="0.3">
      <c r="U970" s="4"/>
    </row>
    <row r="971" spans="21:21" x14ac:dyDescent="0.3">
      <c r="U971" s="4"/>
    </row>
    <row r="972" spans="21:21" x14ac:dyDescent="0.3">
      <c r="U972" s="4"/>
    </row>
    <row r="973" spans="21:21" x14ac:dyDescent="0.3">
      <c r="U973" s="4"/>
    </row>
    <row r="974" spans="21:21" x14ac:dyDescent="0.3">
      <c r="U974" s="4"/>
    </row>
    <row r="975" spans="21:21" x14ac:dyDescent="0.3">
      <c r="U975" s="4"/>
    </row>
    <row r="976" spans="21:21" x14ac:dyDescent="0.3">
      <c r="U976" s="4"/>
    </row>
    <row r="977" spans="21:21" x14ac:dyDescent="0.3">
      <c r="U977" s="4"/>
    </row>
    <row r="978" spans="21:21" x14ac:dyDescent="0.3">
      <c r="U978" s="4"/>
    </row>
    <row r="979" spans="21:21" x14ac:dyDescent="0.3">
      <c r="U979" s="4"/>
    </row>
    <row r="980" spans="21:21" x14ac:dyDescent="0.3">
      <c r="U980" s="4"/>
    </row>
    <row r="981" spans="21:21" x14ac:dyDescent="0.3">
      <c r="U981" s="4"/>
    </row>
    <row r="982" spans="21:21" x14ac:dyDescent="0.3">
      <c r="U982" s="4"/>
    </row>
    <row r="983" spans="21:21" x14ac:dyDescent="0.3">
      <c r="U983" s="4"/>
    </row>
    <row r="984" spans="21:21" x14ac:dyDescent="0.3">
      <c r="U984" s="4"/>
    </row>
    <row r="985" spans="21:21" x14ac:dyDescent="0.3">
      <c r="U985" s="4"/>
    </row>
    <row r="986" spans="21:21" x14ac:dyDescent="0.3">
      <c r="U986" s="4"/>
    </row>
    <row r="987" spans="21:21" x14ac:dyDescent="0.3">
      <c r="U987" s="4"/>
    </row>
    <row r="988" spans="21:21" x14ac:dyDescent="0.3">
      <c r="U988" s="4"/>
    </row>
    <row r="989" spans="21:21" x14ac:dyDescent="0.3">
      <c r="U989" s="4"/>
    </row>
    <row r="990" spans="21:21" x14ac:dyDescent="0.3">
      <c r="U990" s="4"/>
    </row>
    <row r="991" spans="21:21" x14ac:dyDescent="0.3">
      <c r="U991" s="4"/>
    </row>
    <row r="992" spans="21:21" x14ac:dyDescent="0.3">
      <c r="U992" s="4"/>
    </row>
    <row r="993" spans="21:21" x14ac:dyDescent="0.3">
      <c r="U993" s="4"/>
    </row>
    <row r="994" spans="21:21" x14ac:dyDescent="0.3">
      <c r="U994" s="4"/>
    </row>
    <row r="995" spans="21:21" x14ac:dyDescent="0.3">
      <c r="U995" s="4"/>
    </row>
    <row r="996" spans="21:21" x14ac:dyDescent="0.3">
      <c r="U996" s="4"/>
    </row>
    <row r="997" spans="21:21" x14ac:dyDescent="0.3">
      <c r="U997" s="4"/>
    </row>
    <row r="998" spans="21:21" x14ac:dyDescent="0.3">
      <c r="U998" s="4"/>
    </row>
    <row r="999" spans="21:21" x14ac:dyDescent="0.3">
      <c r="U999" s="4"/>
    </row>
    <row r="1000" spans="21:21" x14ac:dyDescent="0.3">
      <c r="U1000" s="4"/>
    </row>
    <row r="1001" spans="21:21" x14ac:dyDescent="0.3">
      <c r="U1001" s="4"/>
    </row>
    <row r="1002" spans="21:21" x14ac:dyDescent="0.3">
      <c r="U1002" s="4"/>
    </row>
    <row r="1003" spans="21:21" x14ac:dyDescent="0.3">
      <c r="U1003" s="4"/>
    </row>
    <row r="1004" spans="21:21" x14ac:dyDescent="0.3">
      <c r="U1004" s="4"/>
    </row>
    <row r="1005" spans="21:21" x14ac:dyDescent="0.3">
      <c r="U1005" s="4"/>
    </row>
    <row r="1006" spans="21:21" x14ac:dyDescent="0.3">
      <c r="U1006" s="4"/>
    </row>
    <row r="1007" spans="21:21" x14ac:dyDescent="0.3">
      <c r="U1007" s="4"/>
    </row>
    <row r="1008" spans="21:21" x14ac:dyDescent="0.3">
      <c r="U1008" s="4"/>
    </row>
    <row r="1009" spans="21:21" x14ac:dyDescent="0.3">
      <c r="U1009" s="4"/>
    </row>
    <row r="1010" spans="21:21" x14ac:dyDescent="0.3">
      <c r="U1010" s="4"/>
    </row>
    <row r="1011" spans="21:21" x14ac:dyDescent="0.3">
      <c r="U1011" s="4"/>
    </row>
    <row r="1012" spans="21:21" x14ac:dyDescent="0.3">
      <c r="U1012" s="4"/>
    </row>
    <row r="1013" spans="21:21" x14ac:dyDescent="0.3">
      <c r="U1013" s="4"/>
    </row>
    <row r="1014" spans="21:21" x14ac:dyDescent="0.3">
      <c r="U1014" s="4"/>
    </row>
    <row r="1015" spans="21:21" x14ac:dyDescent="0.3">
      <c r="U1015" s="4"/>
    </row>
    <row r="1016" spans="21:21" x14ac:dyDescent="0.3">
      <c r="U1016" s="4"/>
    </row>
    <row r="1017" spans="21:21" x14ac:dyDescent="0.3">
      <c r="U1017" s="4"/>
    </row>
    <row r="1018" spans="21:21" x14ac:dyDescent="0.3">
      <c r="U1018" s="4"/>
    </row>
    <row r="1019" spans="21:21" x14ac:dyDescent="0.3">
      <c r="U1019" s="4"/>
    </row>
    <row r="1020" spans="21:21" x14ac:dyDescent="0.3">
      <c r="U1020" s="4"/>
    </row>
    <row r="1021" spans="21:21" x14ac:dyDescent="0.3">
      <c r="U1021" s="4"/>
    </row>
    <row r="1022" spans="21:21" x14ac:dyDescent="0.3">
      <c r="U1022" s="4"/>
    </row>
    <row r="1023" spans="21:21" x14ac:dyDescent="0.3">
      <c r="U1023" s="4"/>
    </row>
    <row r="1024" spans="21:21" x14ac:dyDescent="0.3">
      <c r="U1024" s="4"/>
    </row>
    <row r="1025" spans="21:21" x14ac:dyDescent="0.3">
      <c r="U1025" s="4"/>
    </row>
    <row r="1026" spans="21:21" x14ac:dyDescent="0.3">
      <c r="U1026" s="4"/>
    </row>
    <row r="1027" spans="21:21" x14ac:dyDescent="0.3">
      <c r="U1027" s="4"/>
    </row>
    <row r="1028" spans="21:21" x14ac:dyDescent="0.3">
      <c r="U1028" s="4"/>
    </row>
    <row r="1029" spans="21:21" x14ac:dyDescent="0.3">
      <c r="U1029" s="4"/>
    </row>
    <row r="1030" spans="21:21" x14ac:dyDescent="0.3">
      <c r="U1030" s="4"/>
    </row>
    <row r="1031" spans="21:21" x14ac:dyDescent="0.3">
      <c r="U1031" s="4"/>
    </row>
    <row r="1032" spans="21:21" x14ac:dyDescent="0.3">
      <c r="U1032" s="4"/>
    </row>
    <row r="1033" spans="21:21" x14ac:dyDescent="0.3">
      <c r="U1033" s="4"/>
    </row>
    <row r="1034" spans="21:21" x14ac:dyDescent="0.3">
      <c r="U1034" s="4"/>
    </row>
    <row r="1035" spans="21:21" x14ac:dyDescent="0.3">
      <c r="U1035" s="4"/>
    </row>
    <row r="1036" spans="21:21" x14ac:dyDescent="0.3">
      <c r="U1036" s="4"/>
    </row>
    <row r="1037" spans="21:21" x14ac:dyDescent="0.3">
      <c r="U1037" s="4"/>
    </row>
    <row r="1038" spans="21:21" x14ac:dyDescent="0.3">
      <c r="U1038" s="4"/>
    </row>
    <row r="1039" spans="21:21" x14ac:dyDescent="0.3">
      <c r="U1039" s="4"/>
    </row>
    <row r="1040" spans="21:21" x14ac:dyDescent="0.3">
      <c r="U1040" s="4"/>
    </row>
    <row r="1041" spans="21:21" x14ac:dyDescent="0.3">
      <c r="U1041" s="4"/>
    </row>
    <row r="1042" spans="21:21" x14ac:dyDescent="0.3">
      <c r="U1042" s="4"/>
    </row>
    <row r="1043" spans="21:21" x14ac:dyDescent="0.3">
      <c r="U1043" s="4"/>
    </row>
    <row r="1044" spans="21:21" x14ac:dyDescent="0.3">
      <c r="U1044" s="4"/>
    </row>
    <row r="1045" spans="21:21" x14ac:dyDescent="0.3">
      <c r="U1045" s="4"/>
    </row>
    <row r="1046" spans="21:21" x14ac:dyDescent="0.3">
      <c r="U1046" s="4"/>
    </row>
    <row r="1047" spans="21:21" x14ac:dyDescent="0.3">
      <c r="U1047" s="4"/>
    </row>
    <row r="1048" spans="21:21" x14ac:dyDescent="0.3">
      <c r="U1048" s="4"/>
    </row>
    <row r="1049" spans="21:21" x14ac:dyDescent="0.3">
      <c r="U1049" s="4"/>
    </row>
    <row r="1050" spans="21:21" x14ac:dyDescent="0.3">
      <c r="U1050" s="4"/>
    </row>
    <row r="1051" spans="21:21" x14ac:dyDescent="0.3">
      <c r="U1051" s="4"/>
    </row>
    <row r="1052" spans="21:21" x14ac:dyDescent="0.3">
      <c r="U1052" s="4"/>
    </row>
    <row r="1053" spans="21:21" x14ac:dyDescent="0.3">
      <c r="U1053" s="4"/>
    </row>
    <row r="1054" spans="21:21" x14ac:dyDescent="0.3">
      <c r="U1054" s="4"/>
    </row>
    <row r="1055" spans="21:21" x14ac:dyDescent="0.3">
      <c r="U1055" s="4"/>
    </row>
    <row r="1056" spans="21:21" x14ac:dyDescent="0.3">
      <c r="U1056" s="4"/>
    </row>
    <row r="1057" spans="21:21" x14ac:dyDescent="0.3">
      <c r="U1057" s="4"/>
    </row>
    <row r="1058" spans="21:21" x14ac:dyDescent="0.3">
      <c r="U1058" s="4"/>
    </row>
    <row r="1059" spans="21:21" x14ac:dyDescent="0.3">
      <c r="U1059" s="4"/>
    </row>
    <row r="1060" spans="21:21" x14ac:dyDescent="0.3">
      <c r="U1060" s="4"/>
    </row>
    <row r="1061" spans="21:21" x14ac:dyDescent="0.3">
      <c r="U1061" s="4"/>
    </row>
    <row r="1062" spans="21:21" x14ac:dyDescent="0.3">
      <c r="U1062" s="4"/>
    </row>
    <row r="1063" spans="21:21" x14ac:dyDescent="0.3">
      <c r="U1063" s="4"/>
    </row>
    <row r="1064" spans="21:21" x14ac:dyDescent="0.3">
      <c r="U1064" s="4"/>
    </row>
    <row r="1065" spans="21:21" x14ac:dyDescent="0.3">
      <c r="U1065" s="4"/>
    </row>
    <row r="1066" spans="21:21" x14ac:dyDescent="0.3">
      <c r="U1066" s="4"/>
    </row>
    <row r="1067" spans="21:21" x14ac:dyDescent="0.3">
      <c r="U1067" s="4"/>
    </row>
    <row r="1068" spans="21:21" x14ac:dyDescent="0.3">
      <c r="U1068" s="4"/>
    </row>
    <row r="1069" spans="21:21" x14ac:dyDescent="0.3">
      <c r="U1069" s="4"/>
    </row>
    <row r="1070" spans="21:21" x14ac:dyDescent="0.3">
      <c r="U1070" s="4"/>
    </row>
    <row r="1071" spans="21:21" x14ac:dyDescent="0.3">
      <c r="U1071" s="4"/>
    </row>
    <row r="1072" spans="21:21" x14ac:dyDescent="0.3">
      <c r="U1072" s="4"/>
    </row>
    <row r="1073" spans="21:21" x14ac:dyDescent="0.3">
      <c r="U1073" s="4"/>
    </row>
    <row r="1074" spans="21:21" x14ac:dyDescent="0.3">
      <c r="U1074" s="4"/>
    </row>
    <row r="1075" spans="21:21" x14ac:dyDescent="0.3">
      <c r="U1075" s="4"/>
    </row>
    <row r="1076" spans="21:21" x14ac:dyDescent="0.3">
      <c r="U1076" s="4"/>
    </row>
    <row r="1077" spans="21:21" x14ac:dyDescent="0.3">
      <c r="U1077" s="4"/>
    </row>
    <row r="1078" spans="21:21" x14ac:dyDescent="0.3">
      <c r="U1078" s="4"/>
    </row>
    <row r="1079" spans="21:21" x14ac:dyDescent="0.3">
      <c r="U1079" s="4"/>
    </row>
    <row r="1080" spans="21:21" x14ac:dyDescent="0.3">
      <c r="U1080" s="4"/>
    </row>
    <row r="1081" spans="21:21" x14ac:dyDescent="0.3">
      <c r="U1081" s="4"/>
    </row>
    <row r="1082" spans="21:21" x14ac:dyDescent="0.3">
      <c r="U1082" s="4"/>
    </row>
    <row r="1083" spans="21:21" x14ac:dyDescent="0.3">
      <c r="U1083" s="4"/>
    </row>
    <row r="1084" spans="21:21" x14ac:dyDescent="0.3">
      <c r="U1084" s="4"/>
    </row>
    <row r="1085" spans="21:21" x14ac:dyDescent="0.3">
      <c r="U1085" s="4"/>
    </row>
    <row r="1086" spans="21:21" x14ac:dyDescent="0.3">
      <c r="U1086" s="4"/>
    </row>
    <row r="1087" spans="21:21" x14ac:dyDescent="0.3">
      <c r="U1087" s="4"/>
    </row>
    <row r="1088" spans="21:21" x14ac:dyDescent="0.3">
      <c r="U1088" s="4"/>
    </row>
    <row r="1089" spans="21:21" x14ac:dyDescent="0.3">
      <c r="U1089" s="4"/>
    </row>
    <row r="1090" spans="21:21" x14ac:dyDescent="0.3">
      <c r="U1090" s="4"/>
    </row>
    <row r="1091" spans="21:21" x14ac:dyDescent="0.3">
      <c r="U1091" s="4"/>
    </row>
    <row r="1092" spans="21:21" x14ac:dyDescent="0.3">
      <c r="U1092" s="4"/>
    </row>
    <row r="1093" spans="21:21" x14ac:dyDescent="0.3">
      <c r="U1093" s="4"/>
    </row>
    <row r="1094" spans="21:21" x14ac:dyDescent="0.3">
      <c r="U1094" s="4"/>
    </row>
    <row r="1095" spans="21:21" x14ac:dyDescent="0.3">
      <c r="U1095" s="4"/>
    </row>
    <row r="1096" spans="21:21" x14ac:dyDescent="0.3">
      <c r="U1096" s="4"/>
    </row>
    <row r="1097" spans="21:21" x14ac:dyDescent="0.3">
      <c r="U1097" s="4"/>
    </row>
    <row r="1098" spans="21:21" x14ac:dyDescent="0.3">
      <c r="U1098" s="4"/>
    </row>
    <row r="1099" spans="21:21" x14ac:dyDescent="0.3">
      <c r="U1099" s="4"/>
    </row>
    <row r="1100" spans="21:21" x14ac:dyDescent="0.3">
      <c r="U1100" s="4"/>
    </row>
    <row r="1101" spans="21:21" x14ac:dyDescent="0.3">
      <c r="U1101" s="4"/>
    </row>
    <row r="1102" spans="21:21" x14ac:dyDescent="0.3">
      <c r="U1102" s="4"/>
    </row>
    <row r="1103" spans="21:21" x14ac:dyDescent="0.3">
      <c r="U1103" s="4"/>
    </row>
    <row r="1104" spans="21:21" x14ac:dyDescent="0.3">
      <c r="U1104" s="4"/>
    </row>
    <row r="1105" spans="21:21" x14ac:dyDescent="0.3">
      <c r="U1105" s="4"/>
    </row>
    <row r="1106" spans="21:21" x14ac:dyDescent="0.3">
      <c r="U1106" s="4"/>
    </row>
    <row r="1107" spans="21:21" x14ac:dyDescent="0.3">
      <c r="U1107" s="4"/>
    </row>
    <row r="1108" spans="21:21" x14ac:dyDescent="0.3">
      <c r="U1108" s="4"/>
    </row>
    <row r="1109" spans="21:21" x14ac:dyDescent="0.3">
      <c r="U1109" s="4"/>
    </row>
    <row r="1110" spans="21:21" x14ac:dyDescent="0.3">
      <c r="U1110" s="4"/>
    </row>
    <row r="1111" spans="21:21" x14ac:dyDescent="0.3">
      <c r="U1111" s="4"/>
    </row>
    <row r="1112" spans="21:21" x14ac:dyDescent="0.3">
      <c r="U1112" s="4"/>
    </row>
    <row r="1113" spans="21:21" x14ac:dyDescent="0.3">
      <c r="U1113" s="4"/>
    </row>
    <row r="1114" spans="21:21" x14ac:dyDescent="0.3">
      <c r="U1114" s="4"/>
    </row>
    <row r="1115" spans="21:21" x14ac:dyDescent="0.3">
      <c r="U1115" s="4"/>
    </row>
    <row r="1116" spans="21:21" x14ac:dyDescent="0.3">
      <c r="U1116" s="4"/>
    </row>
    <row r="1117" spans="21:21" x14ac:dyDescent="0.3">
      <c r="U1117" s="4"/>
    </row>
    <row r="1118" spans="21:21" x14ac:dyDescent="0.3">
      <c r="U1118" s="4"/>
    </row>
    <row r="1119" spans="21:21" x14ac:dyDescent="0.3">
      <c r="U1119" s="4"/>
    </row>
    <row r="1120" spans="21:21" x14ac:dyDescent="0.3">
      <c r="U1120" s="4"/>
    </row>
    <row r="1121" spans="21:21" x14ac:dyDescent="0.3">
      <c r="U1121" s="4"/>
    </row>
    <row r="1122" spans="21:21" x14ac:dyDescent="0.3">
      <c r="U1122" s="4"/>
    </row>
    <row r="1123" spans="21:21" x14ac:dyDescent="0.3">
      <c r="U1123" s="4"/>
    </row>
    <row r="1124" spans="21:21" x14ac:dyDescent="0.3">
      <c r="U1124" s="4"/>
    </row>
    <row r="1125" spans="21:21" x14ac:dyDescent="0.3">
      <c r="U1125" s="4"/>
    </row>
    <row r="1126" spans="21:21" x14ac:dyDescent="0.3">
      <c r="U1126" s="4"/>
    </row>
    <row r="1127" spans="21:21" x14ac:dyDescent="0.3">
      <c r="U1127" s="4"/>
    </row>
    <row r="1128" spans="21:21" x14ac:dyDescent="0.3">
      <c r="U1128" s="4"/>
    </row>
    <row r="1129" spans="21:21" x14ac:dyDescent="0.3">
      <c r="U1129" s="4"/>
    </row>
    <row r="1130" spans="21:21" x14ac:dyDescent="0.3">
      <c r="U1130" s="4"/>
    </row>
    <row r="1131" spans="21:21" x14ac:dyDescent="0.3">
      <c r="U1131" s="4"/>
    </row>
    <row r="1132" spans="21:21" x14ac:dyDescent="0.3">
      <c r="U1132" s="4"/>
    </row>
    <row r="1133" spans="21:21" x14ac:dyDescent="0.3">
      <c r="U1133" s="4"/>
    </row>
    <row r="1134" spans="21:21" x14ac:dyDescent="0.3">
      <c r="U1134" s="4"/>
    </row>
    <row r="1135" spans="21:21" x14ac:dyDescent="0.3">
      <c r="U1135" s="4"/>
    </row>
    <row r="1136" spans="21:21" x14ac:dyDescent="0.3">
      <c r="U1136" s="4"/>
    </row>
  </sheetData>
  <sheetProtection algorithmName="SHA-512" hashValue="vFn7flPkxKyOBTy5T1/NypZ58MlX+e70j4CtbRz3rn/RqlAfrCAjI+6nnFGECqmFzOghULCjAik1PK3wc6qPSA==" saltValue="VeB5/mVRcvmFdNoqpXUapg==" spinCount="100000" sheet="1" objects="1" scenarios="1"/>
  <phoneticPr fontId="8" type="noConversion"/>
  <printOptions horizontalCentered="1" verticalCentered="1"/>
  <pageMargins left="0" right="0" top="0.19685039370078741" bottom="0.19685039370078741" header="0.19685039370078741" footer="0.19685039370078741"/>
  <pageSetup paperSize="8" scale="60" orientation="landscape" r:id="rId1"/>
  <headerFooter alignWithMargins="0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35"/>
  <sheetViews>
    <sheetView zoomScale="85" zoomScaleNormal="85" workbookViewId="0">
      <selection activeCell="G26" sqref="G26"/>
    </sheetView>
  </sheetViews>
  <sheetFormatPr defaultColWidth="9.26953125" defaultRowHeight="12.5" x14ac:dyDescent="0.25"/>
  <cols>
    <col min="1" max="1" width="85.7265625" bestFit="1" customWidth="1"/>
    <col min="2" max="2" width="24.453125" bestFit="1" customWidth="1"/>
    <col min="3" max="3" width="14.1796875" bestFit="1" customWidth="1"/>
    <col min="4" max="4" width="13.1796875" bestFit="1" customWidth="1"/>
    <col min="5" max="5" width="13.81640625" bestFit="1" customWidth="1"/>
    <col min="6" max="6" width="10.54296875" bestFit="1" customWidth="1"/>
    <col min="7" max="7" width="13.1796875" bestFit="1" customWidth="1"/>
    <col min="8" max="8" width="11" bestFit="1" customWidth="1"/>
    <col min="9" max="9" width="14.453125" bestFit="1" customWidth="1"/>
    <col min="10" max="10" width="13.54296875" bestFit="1" customWidth="1"/>
  </cols>
  <sheetData>
    <row r="1" spans="1:11" s="10" customFormat="1" ht="14" x14ac:dyDescent="0.3">
      <c r="A1" s="9" t="s">
        <v>204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s="10" customFormat="1" ht="14" x14ac:dyDescent="0.3">
      <c r="A2" s="9"/>
      <c r="B2" s="12"/>
      <c r="C2" s="12"/>
      <c r="D2" s="12"/>
      <c r="E2" s="12"/>
      <c r="F2" s="12"/>
      <c r="G2" s="12"/>
      <c r="H2" s="12"/>
      <c r="I2" s="12"/>
      <c r="J2" s="12"/>
    </row>
    <row r="3" spans="1:11" ht="14" x14ac:dyDescent="0.25">
      <c r="A3" s="92" t="s">
        <v>204</v>
      </c>
      <c r="B3" s="92" t="s">
        <v>208</v>
      </c>
      <c r="C3" s="92" t="s">
        <v>535</v>
      </c>
      <c r="D3" s="92" t="s">
        <v>536</v>
      </c>
      <c r="E3" s="92" t="s">
        <v>537</v>
      </c>
      <c r="F3" s="92" t="s">
        <v>538</v>
      </c>
      <c r="G3" s="92" t="s">
        <v>539</v>
      </c>
      <c r="H3" s="92" t="s">
        <v>540</v>
      </c>
      <c r="I3" s="92" t="s">
        <v>541</v>
      </c>
      <c r="J3" s="92" t="s">
        <v>542</v>
      </c>
    </row>
    <row r="4" spans="1:11" ht="13" x14ac:dyDescent="0.25">
      <c r="A4" s="184" t="s">
        <v>213</v>
      </c>
      <c r="B4" s="39" t="s">
        <v>18</v>
      </c>
      <c r="C4" s="61" t="s">
        <v>6</v>
      </c>
      <c r="D4" s="61" t="s">
        <v>6</v>
      </c>
      <c r="E4" s="61" t="s">
        <v>6</v>
      </c>
      <c r="F4" s="61" t="s">
        <v>6</v>
      </c>
      <c r="G4" s="61" t="s">
        <v>12</v>
      </c>
      <c r="H4" s="61" t="s">
        <v>12</v>
      </c>
      <c r="I4" s="61" t="s">
        <v>12</v>
      </c>
      <c r="J4" s="61" t="s">
        <v>12</v>
      </c>
    </row>
    <row r="5" spans="1:11" ht="13" x14ac:dyDescent="0.25">
      <c r="A5" s="184" t="s">
        <v>220</v>
      </c>
      <c r="B5" s="39"/>
      <c r="C5" s="61"/>
      <c r="D5" s="61"/>
      <c r="E5" s="61"/>
      <c r="F5" s="61"/>
      <c r="G5" s="61"/>
      <c r="H5" s="61"/>
      <c r="I5" s="61"/>
      <c r="J5" s="61"/>
    </row>
    <row r="6" spans="1:11" x14ac:dyDescent="0.25">
      <c r="A6" s="50" t="s">
        <v>543</v>
      </c>
      <c r="B6" s="38">
        <v>100</v>
      </c>
      <c r="C6" s="38">
        <v>101</v>
      </c>
      <c r="D6" s="38">
        <v>97</v>
      </c>
      <c r="E6" s="38">
        <v>101</v>
      </c>
      <c r="F6" s="38">
        <v>99</v>
      </c>
      <c r="G6" s="38">
        <v>102</v>
      </c>
      <c r="H6" s="38">
        <v>99</v>
      </c>
      <c r="I6" s="38">
        <v>104</v>
      </c>
      <c r="J6" s="38">
        <v>103</v>
      </c>
      <c r="K6" s="7"/>
    </row>
    <row r="7" spans="1:11" x14ac:dyDescent="0.25">
      <c r="A7" s="50" t="s">
        <v>544</v>
      </c>
      <c r="B7" s="38">
        <v>100</v>
      </c>
      <c r="C7" s="38">
        <v>101</v>
      </c>
      <c r="D7" s="38">
        <v>98</v>
      </c>
      <c r="E7" s="38">
        <v>98</v>
      </c>
      <c r="F7" s="38">
        <v>100</v>
      </c>
      <c r="G7" s="38">
        <v>104</v>
      </c>
      <c r="H7" s="38">
        <v>99</v>
      </c>
      <c r="I7" s="38">
        <v>104</v>
      </c>
      <c r="J7" s="38">
        <v>99</v>
      </c>
      <c r="K7" s="7"/>
    </row>
    <row r="8" spans="1:11" x14ac:dyDescent="0.25">
      <c r="A8" s="50" t="s">
        <v>545</v>
      </c>
      <c r="B8" s="38">
        <v>100</v>
      </c>
      <c r="C8" s="38">
        <v>100</v>
      </c>
      <c r="D8" s="38">
        <v>96</v>
      </c>
      <c r="E8" s="38">
        <v>103</v>
      </c>
      <c r="F8" s="38">
        <v>102</v>
      </c>
      <c r="G8" s="38">
        <v>103</v>
      </c>
      <c r="H8" s="38">
        <v>102</v>
      </c>
      <c r="I8" s="38">
        <v>107</v>
      </c>
      <c r="J8" s="38">
        <v>103</v>
      </c>
      <c r="K8" s="7"/>
    </row>
    <row r="9" spans="1:11" x14ac:dyDescent="0.25">
      <c r="A9" s="50" t="s">
        <v>546</v>
      </c>
      <c r="B9" s="38">
        <v>100</v>
      </c>
      <c r="C9" s="38">
        <v>100.7</v>
      </c>
      <c r="D9" s="38">
        <v>97.05</v>
      </c>
      <c r="E9" s="38">
        <v>100.53333333333333</v>
      </c>
      <c r="F9" s="38">
        <v>100.16666666666667</v>
      </c>
      <c r="G9" s="38">
        <v>103</v>
      </c>
      <c r="H9" s="38">
        <v>99.857142857142861</v>
      </c>
      <c r="I9" s="38">
        <v>105</v>
      </c>
      <c r="J9" s="38">
        <v>101.66666666666667</v>
      </c>
      <c r="K9" s="7"/>
    </row>
    <row r="10" spans="1:11" ht="13" x14ac:dyDescent="0.25">
      <c r="A10" s="56" t="s">
        <v>547</v>
      </c>
      <c r="B10" s="38"/>
      <c r="C10" s="38"/>
      <c r="D10" s="38"/>
      <c r="E10" s="38"/>
      <c r="F10" s="38"/>
      <c r="G10" s="38"/>
      <c r="H10" s="38"/>
      <c r="I10" s="38"/>
      <c r="J10" s="38"/>
      <c r="K10" s="7"/>
    </row>
    <row r="11" spans="1:11" x14ac:dyDescent="0.25">
      <c r="A11" s="76" t="s">
        <v>548</v>
      </c>
      <c r="B11" s="44">
        <v>17.73</v>
      </c>
      <c r="C11" s="44">
        <v>16.96</v>
      </c>
      <c r="D11" s="44">
        <v>18.22</v>
      </c>
      <c r="E11" s="44">
        <v>17.88</v>
      </c>
      <c r="F11" s="44">
        <v>17.170000000000002</v>
      </c>
      <c r="G11" s="44">
        <v>16.61</v>
      </c>
      <c r="H11" s="60" t="s">
        <v>18</v>
      </c>
      <c r="I11" s="60" t="s">
        <v>18</v>
      </c>
      <c r="J11" s="60" t="s">
        <v>18</v>
      </c>
      <c r="K11" s="7"/>
    </row>
    <row r="12" spans="1:11" x14ac:dyDescent="0.25">
      <c r="A12" s="76" t="s">
        <v>549</v>
      </c>
      <c r="B12" s="44">
        <v>19.34</v>
      </c>
      <c r="C12" s="44">
        <v>18.420000000000002</v>
      </c>
      <c r="D12" s="44">
        <v>19.52</v>
      </c>
      <c r="E12" s="44">
        <v>19.27</v>
      </c>
      <c r="F12" s="44">
        <v>18.399999999999999</v>
      </c>
      <c r="G12" s="44">
        <v>18.53</v>
      </c>
      <c r="H12" s="44">
        <v>19.489999999999998</v>
      </c>
      <c r="I12" s="44">
        <v>18.91</v>
      </c>
      <c r="J12" s="44">
        <v>19.54</v>
      </c>
      <c r="K12" s="7"/>
    </row>
    <row r="13" spans="1:11" x14ac:dyDescent="0.25">
      <c r="A13" s="76" t="s">
        <v>550</v>
      </c>
      <c r="B13" s="44">
        <v>19.43</v>
      </c>
      <c r="C13" s="44">
        <v>18.75</v>
      </c>
      <c r="D13" s="44">
        <v>19.89</v>
      </c>
      <c r="E13" s="44">
        <v>19.329999999999998</v>
      </c>
      <c r="F13" s="44">
        <v>18.579999999999998</v>
      </c>
      <c r="G13" s="44">
        <v>19.059999999999999</v>
      </c>
      <c r="H13" s="44">
        <v>19.809999999999999</v>
      </c>
      <c r="I13" s="44">
        <v>19.350000000000001</v>
      </c>
      <c r="J13" s="44">
        <v>19.329999999999998</v>
      </c>
      <c r="K13" s="7"/>
    </row>
    <row r="14" spans="1:11" ht="13" x14ac:dyDescent="0.25">
      <c r="A14" s="81" t="s">
        <v>239</v>
      </c>
      <c r="B14" s="44"/>
      <c r="C14" s="44"/>
      <c r="D14" s="44"/>
      <c r="E14" s="44"/>
      <c r="F14" s="44"/>
      <c r="G14" s="44"/>
      <c r="H14" s="44"/>
      <c r="I14" s="44"/>
      <c r="J14" s="44"/>
      <c r="K14" s="7"/>
    </row>
    <row r="15" spans="1:11" x14ac:dyDescent="0.25">
      <c r="A15" s="48" t="s">
        <v>385</v>
      </c>
      <c r="B15" s="38">
        <v>68.400000000000006</v>
      </c>
      <c r="C15" s="38">
        <v>66.8</v>
      </c>
      <c r="D15" s="38">
        <v>71.8</v>
      </c>
      <c r="E15" s="38">
        <v>65.7</v>
      </c>
      <c r="F15" s="38">
        <v>65.2</v>
      </c>
      <c r="G15" s="38">
        <v>70.400000000000006</v>
      </c>
      <c r="H15" s="38">
        <v>71.900000000000006</v>
      </c>
      <c r="I15" s="38">
        <v>69</v>
      </c>
      <c r="J15" s="38">
        <v>69.599999999999994</v>
      </c>
      <c r="K15" s="7"/>
    </row>
    <row r="16" spans="1:11" x14ac:dyDescent="0.25">
      <c r="A16" s="48" t="s">
        <v>386</v>
      </c>
      <c r="B16" s="38">
        <v>62.7</v>
      </c>
      <c r="C16" s="38">
        <v>60.4</v>
      </c>
      <c r="D16" s="38">
        <v>66.8</v>
      </c>
      <c r="E16" s="38">
        <v>62.2</v>
      </c>
      <c r="F16" s="38">
        <v>60</v>
      </c>
      <c r="G16" s="38">
        <v>64.8</v>
      </c>
      <c r="H16" s="38">
        <v>65.900000000000006</v>
      </c>
      <c r="I16" s="38">
        <v>67.400000000000006</v>
      </c>
      <c r="J16" s="38">
        <v>68.5</v>
      </c>
      <c r="K16" s="7"/>
    </row>
    <row r="17" spans="1:11" x14ac:dyDescent="0.25">
      <c r="A17" s="48" t="s">
        <v>435</v>
      </c>
      <c r="B17" s="38">
        <v>48</v>
      </c>
      <c r="C17" s="38">
        <v>47.3</v>
      </c>
      <c r="D17" s="38">
        <v>53.8</v>
      </c>
      <c r="E17" s="38">
        <v>46.9</v>
      </c>
      <c r="F17" s="38">
        <v>47.2</v>
      </c>
      <c r="G17" s="38">
        <v>49.3</v>
      </c>
      <c r="H17" s="38">
        <v>51.7</v>
      </c>
      <c r="I17" s="38">
        <v>50.5</v>
      </c>
      <c r="J17" s="38">
        <v>53</v>
      </c>
      <c r="K17" s="7"/>
    </row>
    <row r="18" spans="1:11" ht="13" x14ac:dyDescent="0.25">
      <c r="A18" s="129" t="s">
        <v>551</v>
      </c>
      <c r="B18" s="38"/>
      <c r="C18" s="38"/>
      <c r="D18" s="38"/>
      <c r="E18" s="38"/>
      <c r="F18" s="38"/>
      <c r="G18" s="38"/>
      <c r="H18" s="38"/>
      <c r="I18" s="38"/>
      <c r="J18" s="38"/>
      <c r="K18" s="7"/>
    </row>
    <row r="19" spans="1:11" x14ac:dyDescent="0.25">
      <c r="A19" s="72" t="s">
        <v>552</v>
      </c>
      <c r="B19" s="61">
        <v>100</v>
      </c>
      <c r="C19" s="38">
        <v>98</v>
      </c>
      <c r="D19" s="38">
        <v>99</v>
      </c>
      <c r="E19" s="38">
        <v>105</v>
      </c>
      <c r="F19" s="38">
        <v>94</v>
      </c>
      <c r="G19" s="38">
        <v>105</v>
      </c>
      <c r="H19" s="38">
        <v>100</v>
      </c>
      <c r="I19" s="38">
        <v>104</v>
      </c>
      <c r="J19" s="38">
        <v>106</v>
      </c>
      <c r="K19" s="7"/>
    </row>
    <row r="20" spans="1:11" x14ac:dyDescent="0.25">
      <c r="A20" s="76" t="s">
        <v>553</v>
      </c>
      <c r="B20" s="38">
        <v>100</v>
      </c>
      <c r="C20" s="38">
        <v>93.441861845815893</v>
      </c>
      <c r="D20" s="38">
        <v>101.89829904711016</v>
      </c>
      <c r="E20" s="38">
        <v>106.15370914596136</v>
      </c>
      <c r="F20" s="38">
        <v>91.13295930180783</v>
      </c>
      <c r="G20" s="38">
        <v>98.810935969365033</v>
      </c>
      <c r="H20" s="55" t="s">
        <v>18</v>
      </c>
      <c r="I20" s="55" t="s">
        <v>18</v>
      </c>
      <c r="J20" s="55" t="s">
        <v>18</v>
      </c>
      <c r="K20" s="7"/>
    </row>
    <row r="21" spans="1:11" ht="13" x14ac:dyDescent="0.25">
      <c r="A21" s="81" t="s">
        <v>554</v>
      </c>
      <c r="B21" s="38"/>
      <c r="C21" s="38"/>
      <c r="D21" s="38"/>
      <c r="E21" s="38"/>
      <c r="F21" s="38"/>
      <c r="G21" s="38"/>
      <c r="H21" s="55"/>
      <c r="I21" s="55"/>
      <c r="J21" s="55"/>
      <c r="K21" s="7"/>
    </row>
    <row r="22" spans="1:11" x14ac:dyDescent="0.25">
      <c r="A22" s="72" t="s">
        <v>555</v>
      </c>
      <c r="B22" s="38">
        <v>100</v>
      </c>
      <c r="C22" s="38">
        <v>104</v>
      </c>
      <c r="D22" s="38">
        <v>96</v>
      </c>
      <c r="E22" s="38">
        <v>96</v>
      </c>
      <c r="F22" s="38">
        <v>104</v>
      </c>
      <c r="G22" s="38">
        <v>101</v>
      </c>
      <c r="H22" s="38">
        <v>96</v>
      </c>
      <c r="I22" s="38">
        <v>102</v>
      </c>
      <c r="J22" s="38">
        <v>97</v>
      </c>
      <c r="K22" s="7"/>
    </row>
    <row r="23" spans="1:11" x14ac:dyDescent="0.25">
      <c r="A23" s="76" t="s">
        <v>556</v>
      </c>
      <c r="B23" s="38">
        <v>100</v>
      </c>
      <c r="C23" s="38">
        <v>98.95723211379422</v>
      </c>
      <c r="D23" s="38">
        <v>96.713552813888981</v>
      </c>
      <c r="E23" s="38">
        <v>96.02999253931263</v>
      </c>
      <c r="F23" s="38">
        <v>98.584773860516833</v>
      </c>
      <c r="G23" s="38">
        <v>96.879329863201519</v>
      </c>
      <c r="H23" s="38">
        <v>96.845627144227478</v>
      </c>
      <c r="I23" s="38">
        <v>99.41077853280828</v>
      </c>
      <c r="J23" s="38">
        <v>98.2198051003448</v>
      </c>
      <c r="K23" s="7"/>
    </row>
    <row r="24" spans="1:11" ht="13" x14ac:dyDescent="0.25">
      <c r="A24" s="81" t="s">
        <v>557</v>
      </c>
      <c r="B24" s="38"/>
      <c r="C24" s="38"/>
      <c r="D24" s="38"/>
      <c r="E24" s="38"/>
      <c r="F24" s="38"/>
      <c r="G24" s="38"/>
      <c r="H24" s="38"/>
      <c r="I24" s="38"/>
      <c r="J24" s="38"/>
      <c r="K24" s="7"/>
    </row>
    <row r="25" spans="1:11" x14ac:dyDescent="0.25">
      <c r="A25" s="72" t="s">
        <v>558</v>
      </c>
      <c r="B25" s="38">
        <v>100</v>
      </c>
      <c r="C25" s="38">
        <v>103</v>
      </c>
      <c r="D25" s="38">
        <v>95</v>
      </c>
      <c r="E25" s="38">
        <v>98</v>
      </c>
      <c r="F25" s="38">
        <v>103</v>
      </c>
      <c r="G25" s="38">
        <v>99</v>
      </c>
      <c r="H25" s="38">
        <v>96</v>
      </c>
      <c r="I25" s="38">
        <v>109</v>
      </c>
      <c r="J25" s="38">
        <v>104</v>
      </c>
      <c r="K25" s="7"/>
    </row>
    <row r="26" spans="1:11" x14ac:dyDescent="0.25">
      <c r="A26" s="76" t="s">
        <v>559</v>
      </c>
      <c r="B26" s="38">
        <v>100</v>
      </c>
      <c r="C26" s="38">
        <v>99.647004855781077</v>
      </c>
      <c r="D26" s="38">
        <v>96.804023361453602</v>
      </c>
      <c r="E26" s="38">
        <v>97.683061454347452</v>
      </c>
      <c r="F26" s="38">
        <v>98.743538678421984</v>
      </c>
      <c r="G26" s="38">
        <v>97.029470339457134</v>
      </c>
      <c r="H26" s="38">
        <v>97.892285200683233</v>
      </c>
      <c r="I26" s="38">
        <v>108.24811474859585</v>
      </c>
      <c r="J26" s="38">
        <v>103.8107811765759</v>
      </c>
      <c r="K26" s="7"/>
    </row>
    <row r="27" spans="1:11" ht="13" x14ac:dyDescent="0.25">
      <c r="A27" s="81" t="s">
        <v>245</v>
      </c>
      <c r="B27" s="38"/>
      <c r="C27" s="38"/>
      <c r="D27" s="38"/>
      <c r="E27" s="38"/>
      <c r="F27" s="38"/>
      <c r="G27" s="38"/>
      <c r="H27" s="38"/>
      <c r="I27" s="38"/>
      <c r="J27" s="38"/>
      <c r="K27" s="7"/>
    </row>
    <row r="28" spans="1:11" s="7" customFormat="1" x14ac:dyDescent="0.25">
      <c r="A28" s="59" t="s">
        <v>246</v>
      </c>
      <c r="B28" s="39" t="s">
        <v>18</v>
      </c>
      <c r="C28" s="39">
        <v>2010</v>
      </c>
      <c r="D28" s="39">
        <v>2012</v>
      </c>
      <c r="E28" s="39">
        <v>2018</v>
      </c>
      <c r="F28" s="39">
        <v>2018</v>
      </c>
      <c r="G28" s="39">
        <v>2022</v>
      </c>
      <c r="H28" s="39">
        <v>2024</v>
      </c>
      <c r="I28" s="39">
        <v>2025</v>
      </c>
      <c r="J28" s="39">
        <v>2026</v>
      </c>
    </row>
    <row r="29" spans="1:11" s="7" customFormat="1" x14ac:dyDescent="0.25">
      <c r="A29" s="47" t="s">
        <v>247</v>
      </c>
      <c r="B29" s="39" t="s">
        <v>18</v>
      </c>
      <c r="C29" s="39" t="s">
        <v>151</v>
      </c>
      <c r="D29" s="39" t="s">
        <v>159</v>
      </c>
      <c r="E29" s="39" t="s">
        <v>156</v>
      </c>
      <c r="F29" s="39" t="s">
        <v>154</v>
      </c>
      <c r="G29" s="39" t="s">
        <v>156</v>
      </c>
      <c r="H29" s="39" t="s">
        <v>156</v>
      </c>
      <c r="I29" s="90" t="s">
        <v>165</v>
      </c>
      <c r="J29" s="39" t="s">
        <v>156</v>
      </c>
    </row>
    <row r="30" spans="1:11" s="7" customFormat="1" x14ac:dyDescent="0.25">
      <c r="A30" s="47" t="s">
        <v>248</v>
      </c>
      <c r="B30" s="39" t="s">
        <v>18</v>
      </c>
      <c r="C30" s="39" t="s">
        <v>267</v>
      </c>
      <c r="D30" s="39" t="s">
        <v>159</v>
      </c>
      <c r="E30" s="39" t="s">
        <v>156</v>
      </c>
      <c r="F30" s="39" t="s">
        <v>308</v>
      </c>
      <c r="G30" s="39" t="s">
        <v>289</v>
      </c>
      <c r="H30" s="39" t="s">
        <v>156</v>
      </c>
      <c r="I30" s="90" t="s">
        <v>162</v>
      </c>
      <c r="J30" s="39" t="s">
        <v>156</v>
      </c>
    </row>
    <row r="31" spans="1:11" s="7" customFormat="1" ht="13" x14ac:dyDescent="0.25">
      <c r="A31" s="53" t="s">
        <v>250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1" x14ac:dyDescent="0.25">
      <c r="A32" s="47" t="s">
        <v>251</v>
      </c>
      <c r="B32" s="39" t="s">
        <v>18</v>
      </c>
      <c r="C32" s="38">
        <v>21</v>
      </c>
      <c r="D32" s="38">
        <v>21</v>
      </c>
      <c r="E32" s="38">
        <v>18</v>
      </c>
      <c r="F32" s="38">
        <v>21</v>
      </c>
      <c r="G32" s="38">
        <v>12</v>
      </c>
      <c r="H32" s="38">
        <v>9</v>
      </c>
      <c r="I32" s="38">
        <v>6</v>
      </c>
      <c r="J32" s="38">
        <v>6</v>
      </c>
      <c r="K32" s="7"/>
    </row>
    <row r="33" spans="1:11" x14ac:dyDescent="0.25">
      <c r="A33" s="47" t="s">
        <v>252</v>
      </c>
      <c r="B33" s="39" t="s">
        <v>18</v>
      </c>
      <c r="C33" s="61">
        <v>21</v>
      </c>
      <c r="D33" s="61">
        <v>21</v>
      </c>
      <c r="E33" s="61">
        <v>15</v>
      </c>
      <c r="F33" s="61">
        <v>18</v>
      </c>
      <c r="G33" s="61">
        <v>12</v>
      </c>
      <c r="H33" s="61">
        <v>6</v>
      </c>
      <c r="I33" s="61">
        <v>6</v>
      </c>
      <c r="J33" s="61">
        <v>6</v>
      </c>
      <c r="K33" s="7"/>
    </row>
    <row r="34" spans="1:11" x14ac:dyDescent="0.25">
      <c r="A34" s="47" t="s">
        <v>253</v>
      </c>
      <c r="B34" s="39" t="s">
        <v>18</v>
      </c>
      <c r="C34" s="61">
        <v>18</v>
      </c>
      <c r="D34" s="61">
        <v>18</v>
      </c>
      <c r="E34" s="61">
        <v>12</v>
      </c>
      <c r="F34" s="61">
        <v>15</v>
      </c>
      <c r="G34" s="61">
        <v>9</v>
      </c>
      <c r="H34" s="61">
        <v>6</v>
      </c>
      <c r="I34" s="61">
        <v>6</v>
      </c>
      <c r="J34" s="61">
        <v>6</v>
      </c>
      <c r="K34" s="7"/>
    </row>
    <row r="35" spans="1:11" x14ac:dyDescent="0.25">
      <c r="A35" s="94" t="s">
        <v>560</v>
      </c>
      <c r="B35" s="93"/>
      <c r="C35" s="93"/>
      <c r="D35" s="93"/>
      <c r="E35" s="93"/>
      <c r="F35" s="93"/>
      <c r="G35" s="93"/>
      <c r="H35" s="93"/>
      <c r="I35" s="93"/>
      <c r="J35" s="93"/>
    </row>
  </sheetData>
  <sheetProtection algorithmName="SHA-512" hashValue="qstf4epVrufMmdgXX5AkHyRZNPtoSoqbOnRHwEpKGacXUU2Jdq905Lat7uN1Z6ch/ycJe3FNCcuj9Js5E+DKPQ==" saltValue="ndAi3LKlPvmGiYaGQocKRQ==" spinCount="100000" sheet="1" objects="1" scenarios="1"/>
  <phoneticPr fontId="8" type="noConversion"/>
  <printOptions horizontalCentered="1"/>
  <pageMargins left="0.39370078740157483" right="0.39370078740157483" top="0.39370078740157483" bottom="0.39370078740157483" header="0.31496062992125984" footer="0.31496062992125984"/>
  <pageSetup paperSize="8" orientation="landscape" r:id="rId1"/>
  <headerFooter alignWithMargins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AFFAD-6C83-4D30-8A0E-DB1382689BDF}">
  <dimension ref="A1:E35"/>
  <sheetViews>
    <sheetView workbookViewId="0">
      <selection activeCell="E16" sqref="E16"/>
    </sheetView>
  </sheetViews>
  <sheetFormatPr defaultRowHeight="12.5" x14ac:dyDescent="0.25"/>
  <cols>
    <col min="1" max="1" width="85.7265625" bestFit="1" customWidth="1"/>
    <col min="2" max="2" width="22.54296875" bestFit="1" customWidth="1"/>
    <col min="3" max="3" width="8.453125" bestFit="1" customWidth="1"/>
    <col min="4" max="4" width="15.54296875" bestFit="1" customWidth="1"/>
    <col min="5" max="5" width="11.1796875" bestFit="1" customWidth="1"/>
  </cols>
  <sheetData>
    <row r="1" spans="1:5" x14ac:dyDescent="0.25">
      <c r="A1" t="s">
        <v>207</v>
      </c>
    </row>
    <row r="3" spans="1:5" ht="14" x14ac:dyDescent="0.25">
      <c r="A3" s="92" t="s">
        <v>207</v>
      </c>
      <c r="B3" s="92" t="s">
        <v>208</v>
      </c>
      <c r="C3" s="92" t="s">
        <v>561</v>
      </c>
      <c r="D3" s="92" t="s">
        <v>562</v>
      </c>
      <c r="E3" s="92" t="s">
        <v>563</v>
      </c>
    </row>
    <row r="4" spans="1:5" ht="13" x14ac:dyDescent="0.25">
      <c r="A4" s="69" t="s">
        <v>213</v>
      </c>
      <c r="B4" s="39" t="s">
        <v>18</v>
      </c>
      <c r="C4" s="61" t="s">
        <v>6</v>
      </c>
      <c r="D4" s="61" t="s">
        <v>6</v>
      </c>
      <c r="E4" s="61" t="s">
        <v>6</v>
      </c>
    </row>
    <row r="5" spans="1:5" ht="13" x14ac:dyDescent="0.25">
      <c r="A5" s="69" t="s">
        <v>220</v>
      </c>
      <c r="B5" s="39"/>
      <c r="C5" s="61"/>
      <c r="D5" s="61"/>
      <c r="E5" s="61"/>
    </row>
    <row r="6" spans="1:5" x14ac:dyDescent="0.25">
      <c r="A6" s="50" t="s">
        <v>543</v>
      </c>
      <c r="B6" s="38">
        <v>100</v>
      </c>
      <c r="C6" s="38">
        <v>100</v>
      </c>
      <c r="D6" s="38">
        <v>102</v>
      </c>
      <c r="E6" s="38">
        <v>101</v>
      </c>
    </row>
    <row r="7" spans="1:5" x14ac:dyDescent="0.25">
      <c r="A7" s="50" t="s">
        <v>544</v>
      </c>
      <c r="B7" s="38">
        <v>100</v>
      </c>
      <c r="C7" s="38">
        <v>99</v>
      </c>
      <c r="D7" s="38">
        <v>102</v>
      </c>
      <c r="E7" s="38">
        <v>102</v>
      </c>
    </row>
    <row r="8" spans="1:5" x14ac:dyDescent="0.25">
      <c r="A8" s="50" t="s">
        <v>545</v>
      </c>
      <c r="B8" s="38">
        <v>100</v>
      </c>
      <c r="C8" s="38">
        <v>96</v>
      </c>
      <c r="D8" s="38">
        <v>100</v>
      </c>
      <c r="E8" s="38">
        <v>102</v>
      </c>
    </row>
    <row r="9" spans="1:5" x14ac:dyDescent="0.25">
      <c r="A9" s="50" t="s">
        <v>546</v>
      </c>
      <c r="B9" s="38">
        <v>100</v>
      </c>
      <c r="C9" s="38">
        <v>98.45</v>
      </c>
      <c r="D9" s="38">
        <v>101.4</v>
      </c>
      <c r="E9" s="38">
        <v>101.65</v>
      </c>
    </row>
    <row r="10" spans="1:5" ht="13" x14ac:dyDescent="0.25">
      <c r="A10" s="56" t="s">
        <v>547</v>
      </c>
      <c r="B10" s="38"/>
      <c r="C10" s="38"/>
      <c r="D10" s="38"/>
      <c r="E10" s="38"/>
    </row>
    <row r="11" spans="1:5" x14ac:dyDescent="0.25">
      <c r="A11" s="76" t="s">
        <v>548</v>
      </c>
      <c r="B11" s="44">
        <v>17.73</v>
      </c>
      <c r="C11" s="44">
        <v>18.13</v>
      </c>
      <c r="D11" s="44">
        <v>17.75</v>
      </c>
      <c r="E11" s="44">
        <v>17.98</v>
      </c>
    </row>
    <row r="12" spans="1:5" x14ac:dyDescent="0.25">
      <c r="A12" s="76" t="s">
        <v>549</v>
      </c>
      <c r="B12" s="44">
        <v>19.34</v>
      </c>
      <c r="C12" s="44">
        <v>19.850000000000001</v>
      </c>
      <c r="D12" s="44">
        <v>19.93</v>
      </c>
      <c r="E12" s="44">
        <v>19.98</v>
      </c>
    </row>
    <row r="13" spans="1:5" x14ac:dyDescent="0.25">
      <c r="A13" s="76" t="s">
        <v>550</v>
      </c>
      <c r="B13" s="44">
        <v>19.43</v>
      </c>
      <c r="C13" s="44">
        <v>19.64</v>
      </c>
      <c r="D13" s="44">
        <v>19.760000000000002</v>
      </c>
      <c r="E13" s="44">
        <v>20.03</v>
      </c>
    </row>
    <row r="14" spans="1:5" ht="13" x14ac:dyDescent="0.25">
      <c r="A14" s="69" t="s">
        <v>239</v>
      </c>
      <c r="B14" s="61"/>
      <c r="C14" s="61"/>
      <c r="D14" s="61"/>
      <c r="E14" s="61"/>
    </row>
    <row r="15" spans="1:5" x14ac:dyDescent="0.25">
      <c r="A15" s="48" t="s">
        <v>385</v>
      </c>
      <c r="B15" s="38">
        <v>68.400000000000006</v>
      </c>
      <c r="C15" s="38">
        <v>71</v>
      </c>
      <c r="D15" s="38">
        <v>68.599999999999994</v>
      </c>
      <c r="E15" s="38">
        <v>69.900000000000006</v>
      </c>
    </row>
    <row r="16" spans="1:5" x14ac:dyDescent="0.25">
      <c r="A16" s="48" t="s">
        <v>386</v>
      </c>
      <c r="B16" s="38">
        <v>62.7</v>
      </c>
      <c r="C16" s="38">
        <v>63.8</v>
      </c>
      <c r="D16" s="38">
        <v>63.7</v>
      </c>
      <c r="E16" s="38">
        <v>62.3</v>
      </c>
    </row>
    <row r="17" spans="1:5" x14ac:dyDescent="0.25">
      <c r="A17" s="48" t="s">
        <v>435</v>
      </c>
      <c r="B17" s="38">
        <v>48</v>
      </c>
      <c r="C17" s="38">
        <v>45.8</v>
      </c>
      <c r="D17" s="38">
        <v>47.5</v>
      </c>
      <c r="E17" s="38">
        <v>47.9</v>
      </c>
    </row>
    <row r="18" spans="1:5" ht="13" x14ac:dyDescent="0.25">
      <c r="A18" s="69" t="s">
        <v>551</v>
      </c>
      <c r="B18" s="39"/>
      <c r="C18" s="61"/>
      <c r="D18" s="61"/>
      <c r="E18" s="61"/>
    </row>
    <row r="19" spans="1:5" x14ac:dyDescent="0.25">
      <c r="A19" s="72" t="s">
        <v>552</v>
      </c>
      <c r="B19" s="61">
        <v>100</v>
      </c>
      <c r="C19" s="38">
        <v>99</v>
      </c>
      <c r="D19" s="38">
        <v>104</v>
      </c>
      <c r="E19" s="38">
        <v>101</v>
      </c>
    </row>
    <row r="20" spans="1:5" x14ac:dyDescent="0.25">
      <c r="A20" s="76" t="s">
        <v>553</v>
      </c>
      <c r="B20" s="38">
        <v>100</v>
      </c>
      <c r="C20" s="38">
        <v>101.17968355745539</v>
      </c>
      <c r="D20" s="38">
        <v>103.90655148870482</v>
      </c>
      <c r="E20" s="38">
        <v>102.69100840086681</v>
      </c>
    </row>
    <row r="21" spans="1:5" ht="13" x14ac:dyDescent="0.25">
      <c r="A21" s="69" t="s">
        <v>554</v>
      </c>
      <c r="B21" s="75"/>
      <c r="C21" s="38"/>
      <c r="D21" s="38"/>
      <c r="E21" s="38"/>
    </row>
    <row r="22" spans="1:5" x14ac:dyDescent="0.25">
      <c r="A22" s="72" t="s">
        <v>555</v>
      </c>
      <c r="B22" s="38">
        <v>100</v>
      </c>
      <c r="C22" s="38">
        <v>100</v>
      </c>
      <c r="D22" s="38">
        <v>101</v>
      </c>
      <c r="E22" s="38">
        <v>100</v>
      </c>
    </row>
    <row r="23" spans="1:5" x14ac:dyDescent="0.25">
      <c r="A23" s="76" t="s">
        <v>556</v>
      </c>
      <c r="B23" s="38">
        <v>100</v>
      </c>
      <c r="C23" s="38">
        <v>102.35112472022423</v>
      </c>
      <c r="D23" s="38">
        <v>104.19886908654109</v>
      </c>
      <c r="E23" s="38">
        <v>103.30920372285422</v>
      </c>
    </row>
    <row r="24" spans="1:5" ht="13" x14ac:dyDescent="0.25">
      <c r="A24" s="69" t="s">
        <v>557</v>
      </c>
      <c r="B24" s="38"/>
      <c r="C24" s="38"/>
      <c r="D24" s="38"/>
      <c r="E24" s="38"/>
    </row>
    <row r="25" spans="1:5" x14ac:dyDescent="0.25">
      <c r="A25" s="72" t="s">
        <v>558</v>
      </c>
      <c r="B25" s="38">
        <v>100</v>
      </c>
      <c r="C25" s="38">
        <v>100</v>
      </c>
      <c r="D25" s="38">
        <v>100</v>
      </c>
      <c r="E25" s="38">
        <v>101</v>
      </c>
    </row>
    <row r="26" spans="1:5" x14ac:dyDescent="0.25">
      <c r="A26" s="76" t="s">
        <v>559</v>
      </c>
      <c r="B26" s="38">
        <v>100</v>
      </c>
      <c r="C26" s="38">
        <v>101.08080288214103</v>
      </c>
      <c r="D26" s="38">
        <v>101.69840452907877</v>
      </c>
      <c r="E26" s="38">
        <v>103.83502278711391</v>
      </c>
    </row>
    <row r="27" spans="1:5" ht="13" x14ac:dyDescent="0.25">
      <c r="A27" s="54" t="s">
        <v>245</v>
      </c>
      <c r="B27" s="38"/>
      <c r="C27" s="38"/>
      <c r="D27" s="38"/>
      <c r="E27" s="38"/>
    </row>
    <row r="28" spans="1:5" x14ac:dyDescent="0.25">
      <c r="A28" s="59" t="s">
        <v>246</v>
      </c>
      <c r="B28" s="39" t="s">
        <v>18</v>
      </c>
      <c r="C28" s="61">
        <v>2005</v>
      </c>
      <c r="D28" s="39">
        <v>2011</v>
      </c>
      <c r="E28" s="39">
        <v>2014</v>
      </c>
    </row>
    <row r="29" spans="1:5" x14ac:dyDescent="0.25">
      <c r="A29" s="47" t="s">
        <v>247</v>
      </c>
      <c r="B29" s="39" t="s">
        <v>18</v>
      </c>
      <c r="C29" s="61" t="s">
        <v>156</v>
      </c>
      <c r="D29" s="39" t="s">
        <v>159</v>
      </c>
      <c r="E29" s="39" t="s">
        <v>159</v>
      </c>
    </row>
    <row r="30" spans="1:5" x14ac:dyDescent="0.25">
      <c r="A30" s="47" t="s">
        <v>248</v>
      </c>
      <c r="B30" s="39" t="s">
        <v>18</v>
      </c>
      <c r="C30" s="61" t="s">
        <v>156</v>
      </c>
      <c r="D30" s="39" t="s">
        <v>159</v>
      </c>
      <c r="E30" s="39" t="s">
        <v>156</v>
      </c>
    </row>
    <row r="31" spans="1:5" ht="13" x14ac:dyDescent="0.25">
      <c r="A31" s="53" t="s">
        <v>250</v>
      </c>
      <c r="B31" s="39"/>
      <c r="C31" s="38"/>
      <c r="D31" s="38"/>
      <c r="E31" s="38"/>
    </row>
    <row r="32" spans="1:5" x14ac:dyDescent="0.25">
      <c r="A32" s="47" t="s">
        <v>251</v>
      </c>
      <c r="B32" s="39" t="s">
        <v>18</v>
      </c>
      <c r="C32" s="38">
        <v>21</v>
      </c>
      <c r="D32" s="38">
        <v>21</v>
      </c>
      <c r="E32" s="38">
        <v>21</v>
      </c>
    </row>
    <row r="33" spans="1:5" x14ac:dyDescent="0.25">
      <c r="A33" s="47" t="s">
        <v>252</v>
      </c>
      <c r="B33" s="39" t="s">
        <v>18</v>
      </c>
      <c r="C33" s="61">
        <v>21</v>
      </c>
      <c r="D33" s="61">
        <v>21</v>
      </c>
      <c r="E33" s="61">
        <v>21</v>
      </c>
    </row>
    <row r="34" spans="1:5" x14ac:dyDescent="0.25">
      <c r="A34" s="47" t="s">
        <v>253</v>
      </c>
      <c r="B34" s="39" t="s">
        <v>18</v>
      </c>
      <c r="C34" s="61">
        <v>18</v>
      </c>
      <c r="D34" s="61">
        <v>18</v>
      </c>
      <c r="E34" s="61">
        <v>18</v>
      </c>
    </row>
    <row r="35" spans="1:5" x14ac:dyDescent="0.25">
      <c r="A35" s="94" t="s">
        <v>560</v>
      </c>
      <c r="B35" s="93"/>
      <c r="C35" s="93"/>
      <c r="D35" s="93"/>
      <c r="E35" s="93"/>
    </row>
  </sheetData>
  <sheetProtection algorithmName="SHA-512" hashValue="xYw4bgKqFrb+6p+6+IINRQdJTx+JeBNt7WIoRDoYWXovJtaHTBjotX8yLSUr4+a7cl6mZVOulegR/j5J2EZEzg==" saltValue="FkPFATjdtFu/iJvyPu20Eg==" spinCount="100000" sheet="1" objects="1" scenarios="1"/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pageSetUpPr fitToPage="1"/>
  </sheetPr>
  <dimension ref="A1:AO21"/>
  <sheetViews>
    <sheetView zoomScale="115" zoomScaleNormal="115" workbookViewId="0">
      <selection activeCell="F14" sqref="F14"/>
    </sheetView>
  </sheetViews>
  <sheetFormatPr defaultColWidth="8.7265625" defaultRowHeight="12.5" x14ac:dyDescent="0.25"/>
  <cols>
    <col min="1" max="1" width="37.7265625" bestFit="1" customWidth="1"/>
    <col min="2" max="2" width="23.26953125" bestFit="1" customWidth="1"/>
    <col min="3" max="3" width="8.81640625" bestFit="1" customWidth="1"/>
    <col min="4" max="4" width="12.54296875" bestFit="1" customWidth="1"/>
    <col min="5" max="5" width="10.1796875" bestFit="1" customWidth="1"/>
    <col min="6" max="6" width="9.453125" bestFit="1" customWidth="1"/>
    <col min="7" max="7" width="9.7265625" bestFit="1" customWidth="1"/>
    <col min="11" max="12" width="10.26953125" bestFit="1" customWidth="1"/>
  </cols>
  <sheetData>
    <row r="1" spans="1:41" s="10" customFormat="1" ht="14" x14ac:dyDescent="0.3">
      <c r="A1" s="9" t="s">
        <v>564</v>
      </c>
      <c r="B1" s="9"/>
      <c r="C1" s="12"/>
      <c r="D1" s="12"/>
      <c r="E1" s="12"/>
      <c r="F1" s="12"/>
      <c r="G1" s="12"/>
    </row>
    <row r="2" spans="1:41" x14ac:dyDescent="0.25">
      <c r="A2" s="77"/>
      <c r="B2" s="77"/>
      <c r="C2" s="28"/>
      <c r="D2" s="28"/>
      <c r="E2" s="28"/>
      <c r="F2" s="28"/>
      <c r="G2" s="28"/>
    </row>
    <row r="3" spans="1:41" ht="14" x14ac:dyDescent="0.3">
      <c r="A3" s="9" t="s">
        <v>564</v>
      </c>
      <c r="B3" s="9" t="s">
        <v>565</v>
      </c>
      <c r="C3" s="9" t="s">
        <v>566</v>
      </c>
      <c r="D3" s="9" t="s">
        <v>567</v>
      </c>
      <c r="E3" s="9" t="s">
        <v>568</v>
      </c>
      <c r="F3" s="9" t="s">
        <v>569</v>
      </c>
      <c r="G3" s="9" t="s">
        <v>570</v>
      </c>
      <c r="J3" s="5"/>
      <c r="K3" s="5"/>
      <c r="L3" s="5"/>
    </row>
    <row r="4" spans="1:41" x14ac:dyDescent="0.25">
      <c r="A4" s="59" t="s">
        <v>571</v>
      </c>
      <c r="B4" s="78"/>
      <c r="C4" s="32" t="s">
        <v>168</v>
      </c>
      <c r="D4" s="32" t="s">
        <v>168</v>
      </c>
      <c r="E4" s="32" t="s">
        <v>168</v>
      </c>
      <c r="F4" s="32" t="s">
        <v>168</v>
      </c>
      <c r="G4" s="89" t="s">
        <v>572</v>
      </c>
      <c r="J4" s="5"/>
      <c r="K4" s="5"/>
      <c r="L4" s="5"/>
    </row>
    <row r="5" spans="1:41" s="7" customFormat="1" ht="13" x14ac:dyDescent="0.25">
      <c r="A5" s="69" t="s">
        <v>220</v>
      </c>
      <c r="B5" s="38"/>
      <c r="C5" s="61"/>
      <c r="D5" s="61"/>
      <c r="E5" s="61"/>
      <c r="F5" s="61"/>
      <c r="G5" s="61"/>
      <c r="I5" s="23"/>
      <c r="J5" s="5"/>
      <c r="K5" s="5"/>
      <c r="L5" s="5"/>
      <c r="M5"/>
    </row>
    <row r="6" spans="1:41" s="7" customFormat="1" x14ac:dyDescent="0.25">
      <c r="A6" s="50" t="s">
        <v>573</v>
      </c>
      <c r="B6" s="38">
        <v>100</v>
      </c>
      <c r="C6" s="38">
        <v>103</v>
      </c>
      <c r="D6" s="38">
        <v>97</v>
      </c>
      <c r="E6" s="38">
        <v>85</v>
      </c>
      <c r="F6" s="38">
        <v>98</v>
      </c>
      <c r="G6" s="38">
        <v>86</v>
      </c>
      <c r="I6" s="23"/>
      <c r="J6" s="45"/>
      <c r="K6" s="5"/>
      <c r="L6" s="5"/>
      <c r="M6"/>
    </row>
    <row r="7" spans="1:41" s="7" customFormat="1" x14ac:dyDescent="0.25">
      <c r="A7" s="50" t="s">
        <v>574</v>
      </c>
      <c r="B7" s="38">
        <v>100</v>
      </c>
      <c r="C7" s="38">
        <v>103</v>
      </c>
      <c r="D7" s="38">
        <v>97</v>
      </c>
      <c r="E7" s="38">
        <v>98</v>
      </c>
      <c r="F7" s="38">
        <v>103</v>
      </c>
      <c r="G7" s="38">
        <v>94</v>
      </c>
      <c r="J7" s="5"/>
      <c r="K7" s="5"/>
      <c r="L7" s="5"/>
      <c r="M7"/>
    </row>
    <row r="8" spans="1:41" s="21" customFormat="1" x14ac:dyDescent="0.25">
      <c r="A8" s="50" t="s">
        <v>575</v>
      </c>
      <c r="B8" s="38">
        <v>100</v>
      </c>
      <c r="C8" s="38">
        <v>103</v>
      </c>
      <c r="D8" s="38">
        <v>97</v>
      </c>
      <c r="E8" s="38">
        <v>91.5</v>
      </c>
      <c r="F8" s="38">
        <v>100.5</v>
      </c>
      <c r="G8" s="38">
        <v>90</v>
      </c>
      <c r="H8" s="7"/>
      <c r="I8" s="7"/>
      <c r="J8" s="5"/>
      <c r="K8" s="5"/>
      <c r="L8" s="5"/>
      <c r="M8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</row>
    <row r="9" spans="1:41" s="21" customFormat="1" ht="13" x14ac:dyDescent="0.25">
      <c r="A9" s="69" t="s">
        <v>576</v>
      </c>
      <c r="B9" s="61"/>
      <c r="C9" s="61"/>
      <c r="D9" s="61"/>
      <c r="E9" s="61"/>
      <c r="F9" s="61"/>
      <c r="G9" s="61"/>
      <c r="H9" s="7"/>
      <c r="I9" s="7"/>
      <c r="J9" s="5"/>
      <c r="K9" s="5"/>
      <c r="L9" s="5"/>
      <c r="M9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</row>
    <row r="10" spans="1:41" s="21" customFormat="1" x14ac:dyDescent="0.25">
      <c r="A10" s="59" t="s">
        <v>577</v>
      </c>
      <c r="B10" s="61">
        <v>100</v>
      </c>
      <c r="C10" s="38">
        <v>103</v>
      </c>
      <c r="D10" s="38">
        <v>97</v>
      </c>
      <c r="E10" s="38">
        <v>86</v>
      </c>
      <c r="F10" s="38">
        <v>108</v>
      </c>
      <c r="G10" s="38">
        <v>95</v>
      </c>
      <c r="H10" s="7"/>
      <c r="I10" s="7"/>
      <c r="J10" s="5"/>
      <c r="K10" s="5"/>
      <c r="L10" s="5"/>
      <c r="M10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</row>
    <row r="11" spans="1:41" s="21" customFormat="1" x14ac:dyDescent="0.25">
      <c r="A11" s="79" t="s">
        <v>578</v>
      </c>
      <c r="B11" s="44">
        <v>14.64</v>
      </c>
      <c r="C11" s="44">
        <v>14.47</v>
      </c>
      <c r="D11" s="44">
        <v>14.81</v>
      </c>
      <c r="E11" s="44">
        <v>14.09</v>
      </c>
      <c r="F11" s="44">
        <v>14.08</v>
      </c>
      <c r="G11" s="44">
        <v>13.75</v>
      </c>
      <c r="H11" s="7"/>
      <c r="I11" s="7"/>
      <c r="J11" s="5"/>
      <c r="K11" s="5"/>
      <c r="L11" s="5"/>
      <c r="M11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</row>
    <row r="12" spans="1:41" s="21" customFormat="1" ht="13" x14ac:dyDescent="0.25">
      <c r="A12" s="69" t="s">
        <v>239</v>
      </c>
      <c r="B12" s="61"/>
      <c r="C12" s="61"/>
      <c r="D12" s="61"/>
      <c r="E12" s="61"/>
      <c r="F12" s="61"/>
      <c r="G12" s="61"/>
      <c r="H12" s="7"/>
      <c r="I12" s="7"/>
      <c r="J12" s="5"/>
      <c r="K12" s="5"/>
      <c r="L12" s="5"/>
      <c r="M12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</row>
    <row r="13" spans="1:41" s="21" customFormat="1" x14ac:dyDescent="0.25">
      <c r="A13" s="59" t="s">
        <v>385</v>
      </c>
      <c r="B13" s="38">
        <v>43.7</v>
      </c>
      <c r="C13" s="38">
        <v>43.7</v>
      </c>
      <c r="D13" s="38">
        <v>43.7</v>
      </c>
      <c r="E13" s="38">
        <v>45.3</v>
      </c>
      <c r="F13" s="38">
        <v>38.4</v>
      </c>
      <c r="G13" s="38">
        <v>41.5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</row>
    <row r="14" spans="1:41" s="7" customFormat="1" x14ac:dyDescent="0.25">
      <c r="A14" s="48" t="s">
        <v>386</v>
      </c>
      <c r="B14" s="49">
        <v>45</v>
      </c>
      <c r="C14" s="38">
        <v>47</v>
      </c>
      <c r="D14" s="38">
        <v>44</v>
      </c>
      <c r="E14" s="38">
        <v>48</v>
      </c>
      <c r="F14" s="38">
        <v>44</v>
      </c>
      <c r="G14" s="38">
        <v>42</v>
      </c>
    </row>
    <row r="15" spans="1:41" s="7" customFormat="1" ht="13" x14ac:dyDescent="0.25">
      <c r="A15" s="54" t="s">
        <v>245</v>
      </c>
      <c r="B15" s="49"/>
      <c r="C15" s="38"/>
      <c r="D15" s="38"/>
      <c r="E15" s="38"/>
      <c r="F15" s="38"/>
      <c r="G15" s="38"/>
    </row>
    <row r="16" spans="1:41" s="7" customFormat="1" x14ac:dyDescent="0.25">
      <c r="A16" s="59" t="s">
        <v>246</v>
      </c>
      <c r="B16" s="39" t="s">
        <v>18</v>
      </c>
      <c r="C16" s="61">
        <v>2024</v>
      </c>
      <c r="D16" s="61">
        <v>2024</v>
      </c>
      <c r="E16" s="39">
        <v>2026</v>
      </c>
      <c r="F16" s="39">
        <v>2026</v>
      </c>
      <c r="G16" s="39">
        <v>2026</v>
      </c>
    </row>
    <row r="17" spans="1:7" s="7" customFormat="1" ht="14" x14ac:dyDescent="0.25">
      <c r="A17" s="47" t="s">
        <v>247</v>
      </c>
      <c r="B17" s="39" t="s">
        <v>18</v>
      </c>
      <c r="C17" s="57" t="s">
        <v>156</v>
      </c>
      <c r="D17" s="57" t="s">
        <v>156</v>
      </c>
      <c r="E17" s="57" t="s">
        <v>249</v>
      </c>
      <c r="F17" s="57" t="s">
        <v>579</v>
      </c>
      <c r="G17" s="57" t="s">
        <v>156</v>
      </c>
    </row>
    <row r="18" spans="1:7" s="7" customFormat="1" ht="14" x14ac:dyDescent="0.25">
      <c r="A18" s="47" t="s">
        <v>248</v>
      </c>
      <c r="B18" s="39" t="s">
        <v>18</v>
      </c>
      <c r="C18" s="57" t="s">
        <v>156</v>
      </c>
      <c r="D18" s="57" t="s">
        <v>156</v>
      </c>
      <c r="E18" s="57" t="s">
        <v>249</v>
      </c>
      <c r="F18" s="57" t="s">
        <v>267</v>
      </c>
      <c r="G18" s="57" t="s">
        <v>289</v>
      </c>
    </row>
    <row r="19" spans="1:7" s="7" customFormat="1" ht="13" x14ac:dyDescent="0.25">
      <c r="A19" s="53" t="s">
        <v>250</v>
      </c>
      <c r="B19" s="39" t="s">
        <v>18</v>
      </c>
      <c r="C19" s="38"/>
      <c r="D19" s="38"/>
      <c r="E19" s="38"/>
      <c r="F19" s="38"/>
      <c r="G19" s="38"/>
    </row>
    <row r="20" spans="1:7" s="7" customFormat="1" x14ac:dyDescent="0.25">
      <c r="A20" s="47" t="s">
        <v>251</v>
      </c>
      <c r="B20" s="39" t="s">
        <v>18</v>
      </c>
      <c r="C20" s="38">
        <v>4</v>
      </c>
      <c r="D20" s="38">
        <v>4</v>
      </c>
      <c r="E20" s="38">
        <v>2</v>
      </c>
      <c r="F20" s="38">
        <v>2</v>
      </c>
      <c r="G20" s="38">
        <v>2</v>
      </c>
    </row>
    <row r="21" spans="1:7" s="7" customFormat="1" x14ac:dyDescent="0.25">
      <c r="A21" s="80" t="s">
        <v>252</v>
      </c>
      <c r="B21" s="39" t="s">
        <v>18</v>
      </c>
      <c r="C21" s="61">
        <v>2</v>
      </c>
      <c r="D21" s="61">
        <v>2</v>
      </c>
      <c r="E21" s="61">
        <v>2</v>
      </c>
      <c r="F21" s="61">
        <v>2</v>
      </c>
      <c r="G21" s="61">
        <v>2</v>
      </c>
    </row>
  </sheetData>
  <sheetProtection algorithmName="SHA-512" hashValue="FS/IDvDxyKg+PfM+K59vtsO2dfdCK5WoftlQFYVBAO2lWzZWS+ERYRDy7Y1TpX6EEv4WzOZXicMPR21KEcZV4Q==" saltValue="SR2cbydxNMRizeptZZ2zKQ==" spinCount="100000" sheet="1" objects="1" scenarios="1"/>
  <phoneticPr fontId="8" type="noConversion"/>
  <printOptions horizontalCentered="1" verticalCentered="1"/>
  <pageMargins left="0.6692913385826772" right="0.19685039370078741" top="0.43307086614173229" bottom="0.27559055118110237" header="0.19685039370078741" footer="0.15748031496062992"/>
  <pageSetup paperSize="9" orientation="landscape" r:id="rId1"/>
  <headerFooter alignWithMargins="0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">
    <pageSetUpPr fitToPage="1"/>
  </sheetPr>
  <dimension ref="A1:AG37"/>
  <sheetViews>
    <sheetView tabSelected="1" zoomScaleNormal="100" workbookViewId="0">
      <selection activeCell="D13" sqref="D13"/>
    </sheetView>
  </sheetViews>
  <sheetFormatPr defaultColWidth="8.7265625" defaultRowHeight="12.5" x14ac:dyDescent="0.25"/>
  <cols>
    <col min="1" max="1" width="46.54296875" bestFit="1" customWidth="1"/>
    <col min="2" max="2" width="24" bestFit="1" customWidth="1"/>
    <col min="3" max="3" width="11" bestFit="1" customWidth="1"/>
    <col min="4" max="4" width="11.54296875" bestFit="1" customWidth="1"/>
    <col min="5" max="5" width="15.453125" bestFit="1" customWidth="1"/>
    <col min="6" max="33" width="9.26953125" customWidth="1"/>
  </cols>
  <sheetData>
    <row r="1" spans="1:33" s="10" customFormat="1" ht="14" x14ac:dyDescent="0.3">
      <c r="A1" s="100" t="s">
        <v>580</v>
      </c>
      <c r="B1" s="26"/>
      <c r="C1" s="26"/>
      <c r="D1" s="26"/>
    </row>
    <row r="2" spans="1:33" x14ac:dyDescent="0.25">
      <c r="A2" s="27"/>
      <c r="B2" s="28"/>
      <c r="C2" s="28"/>
      <c r="D2" s="28"/>
      <c r="E2" s="28"/>
    </row>
    <row r="3" spans="1:33" ht="13" x14ac:dyDescent="0.25">
      <c r="A3" s="97" t="s">
        <v>580</v>
      </c>
      <c r="B3" s="96" t="s">
        <v>565</v>
      </c>
      <c r="C3" s="96" t="s">
        <v>581</v>
      </c>
      <c r="D3" s="96" t="s">
        <v>582</v>
      </c>
      <c r="E3" s="96" t="s">
        <v>583</v>
      </c>
    </row>
    <row r="4" spans="1:33" s="7" customFormat="1" ht="15" customHeight="1" x14ac:dyDescent="0.3">
      <c r="A4" s="53" t="s">
        <v>584</v>
      </c>
      <c r="B4" s="34"/>
      <c r="C4" s="34"/>
      <c r="D4" s="34"/>
      <c r="E4" s="34"/>
      <c r="F4"/>
      <c r="G4"/>
      <c r="H4"/>
      <c r="I4"/>
      <c r="J4" s="11"/>
    </row>
    <row r="5" spans="1:33" s="30" customFormat="1" ht="17.25" customHeight="1" x14ac:dyDescent="0.25">
      <c r="A5" s="48" t="s">
        <v>585</v>
      </c>
      <c r="B5" s="38">
        <v>100</v>
      </c>
      <c r="C5" s="38">
        <v>96</v>
      </c>
      <c r="D5" s="38">
        <v>98</v>
      </c>
      <c r="E5" s="38">
        <v>105</v>
      </c>
      <c r="F5"/>
      <c r="G5"/>
      <c r="H5"/>
      <c r="I5"/>
      <c r="J5" s="42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ht="17.25" customHeight="1" x14ac:dyDescent="0.25">
      <c r="A6" s="79" t="s">
        <v>586</v>
      </c>
      <c r="B6" s="44">
        <f>65+1.6</f>
        <v>66.599999999999994</v>
      </c>
      <c r="C6" s="44">
        <f>65+1.1</f>
        <v>66.099999999999994</v>
      </c>
      <c r="D6" s="44">
        <f>65+1.4</f>
        <v>66.400000000000006</v>
      </c>
      <c r="E6" s="44">
        <f>65+2.3</f>
        <v>67.3</v>
      </c>
    </row>
    <row r="7" spans="1:33" s="29" customFormat="1" ht="17.25" customHeight="1" x14ac:dyDescent="0.25">
      <c r="A7" s="48" t="s">
        <v>219</v>
      </c>
      <c r="B7" s="38">
        <v>73.099999999999994</v>
      </c>
      <c r="C7" s="38">
        <v>73</v>
      </c>
      <c r="D7" s="38">
        <v>75</v>
      </c>
      <c r="E7" s="38">
        <v>71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7" customFormat="1" ht="15" customHeight="1" x14ac:dyDescent="0.3">
      <c r="A8" s="53" t="s">
        <v>220</v>
      </c>
      <c r="B8" s="34"/>
      <c r="C8" s="34"/>
      <c r="D8" s="34"/>
      <c r="E8" s="34"/>
      <c r="F8"/>
      <c r="G8"/>
      <c r="H8"/>
      <c r="I8"/>
      <c r="J8" s="11"/>
    </row>
    <row r="9" spans="1:33" s="29" customFormat="1" ht="17.25" customHeight="1" x14ac:dyDescent="0.35">
      <c r="A9" s="48" t="s">
        <v>587</v>
      </c>
      <c r="B9" s="38">
        <v>100</v>
      </c>
      <c r="C9" s="38">
        <v>94</v>
      </c>
      <c r="D9" s="38">
        <v>99</v>
      </c>
      <c r="E9" s="38">
        <v>107</v>
      </c>
      <c r="F9"/>
      <c r="G9"/>
      <c r="H9"/>
      <c r="I9"/>
      <c r="J9" s="35"/>
      <c r="K9" s="35"/>
      <c r="L9" s="35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30" customFormat="1" ht="17.25" customHeight="1" x14ac:dyDescent="0.35">
      <c r="A10" s="48" t="s">
        <v>588</v>
      </c>
      <c r="B10" s="38">
        <v>71.55</v>
      </c>
      <c r="C10" s="38">
        <v>70</v>
      </c>
      <c r="D10" s="38">
        <v>73</v>
      </c>
      <c r="E10" s="38">
        <v>71</v>
      </c>
      <c r="F10"/>
      <c r="G10"/>
      <c r="H10"/>
      <c r="I10"/>
      <c r="J10" s="35"/>
      <c r="K10" s="35"/>
      <c r="L10" s="35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s="30" customFormat="1" ht="17.25" customHeight="1" x14ac:dyDescent="0.35">
      <c r="A11" s="53" t="s">
        <v>589</v>
      </c>
      <c r="B11" s="34"/>
      <c r="C11" s="34"/>
      <c r="D11" s="34"/>
      <c r="E11" s="34"/>
      <c r="F11"/>
      <c r="G11"/>
      <c r="H11"/>
      <c r="I11"/>
      <c r="J11" s="35"/>
      <c r="K11" s="35"/>
      <c r="L11" s="35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s="30" customFormat="1" ht="17.25" customHeight="1" x14ac:dyDescent="0.35">
      <c r="A12" s="48" t="s">
        <v>590</v>
      </c>
      <c r="B12" s="38">
        <v>100</v>
      </c>
      <c r="C12" s="38">
        <v>100</v>
      </c>
      <c r="D12" s="38">
        <v>93</v>
      </c>
      <c r="E12" s="38">
        <v>106</v>
      </c>
      <c r="F12"/>
      <c r="G12"/>
      <c r="H12"/>
      <c r="I12"/>
      <c r="J12" s="35"/>
      <c r="K12" s="35"/>
      <c r="L12" s="35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s="30" customFormat="1" ht="17.25" customHeight="1" x14ac:dyDescent="0.35">
      <c r="A13" s="48" t="s">
        <v>591</v>
      </c>
      <c r="B13" s="38">
        <v>100</v>
      </c>
      <c r="C13" s="38">
        <v>102</v>
      </c>
      <c r="D13" s="38">
        <v>96</v>
      </c>
      <c r="E13" s="38">
        <v>102</v>
      </c>
      <c r="F13"/>
      <c r="G13"/>
      <c r="H13"/>
      <c r="I13"/>
      <c r="J13" s="35"/>
      <c r="K13" s="35"/>
      <c r="L13" s="35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s="30" customFormat="1" ht="17.25" customHeight="1" x14ac:dyDescent="0.35">
      <c r="A14" s="48" t="s">
        <v>592</v>
      </c>
      <c r="B14" s="38">
        <v>100</v>
      </c>
      <c r="C14" s="38">
        <v>93</v>
      </c>
      <c r="D14" s="38">
        <v>100</v>
      </c>
      <c r="E14" s="38">
        <v>107</v>
      </c>
      <c r="F14"/>
      <c r="G14"/>
      <c r="H14"/>
      <c r="I14"/>
      <c r="J14" s="35"/>
      <c r="K14" s="35"/>
      <c r="L14" s="35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s="30" customFormat="1" ht="17.25" customHeight="1" x14ac:dyDescent="0.35">
      <c r="A15" s="48" t="s">
        <v>593</v>
      </c>
      <c r="B15" s="38">
        <v>100</v>
      </c>
      <c r="C15" s="38">
        <v>96</v>
      </c>
      <c r="D15" s="38">
        <v>99</v>
      </c>
      <c r="E15" s="38">
        <v>106</v>
      </c>
      <c r="F15"/>
      <c r="G15"/>
      <c r="H15"/>
      <c r="I15"/>
      <c r="J15" s="35"/>
      <c r="K15" s="35"/>
      <c r="L15" s="3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s="30" customFormat="1" ht="17.25" customHeight="1" x14ac:dyDescent="0.35">
      <c r="A16" s="48" t="s">
        <v>594</v>
      </c>
      <c r="B16" s="38">
        <v>100</v>
      </c>
      <c r="C16" s="38">
        <v>91</v>
      </c>
      <c r="D16" s="38">
        <v>99</v>
      </c>
      <c r="E16" s="38">
        <v>110</v>
      </c>
      <c r="F16"/>
      <c r="G16"/>
      <c r="H16"/>
      <c r="I16"/>
      <c r="J16" s="35"/>
      <c r="K16" s="35"/>
      <c r="L16" s="35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s="30" customFormat="1" ht="17.25" customHeight="1" x14ac:dyDescent="0.35">
      <c r="A17" s="53" t="s">
        <v>232</v>
      </c>
      <c r="B17" s="34"/>
      <c r="C17" s="34"/>
      <c r="D17" s="34"/>
      <c r="E17" s="34"/>
      <c r="F17"/>
      <c r="G17"/>
      <c r="H17"/>
      <c r="I17"/>
      <c r="J17" s="35"/>
      <c r="K17" s="35"/>
      <c r="L17" s="35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s="30" customFormat="1" ht="17.25" customHeight="1" x14ac:dyDescent="0.25">
      <c r="A18" s="48" t="s">
        <v>595</v>
      </c>
      <c r="B18" s="38">
        <v>100</v>
      </c>
      <c r="C18" s="38">
        <v>97</v>
      </c>
      <c r="D18" s="38">
        <v>100</v>
      </c>
      <c r="E18" s="38">
        <v>103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ht="17.25" customHeight="1" x14ac:dyDescent="0.25">
      <c r="A19" s="79" t="s">
        <v>596</v>
      </c>
      <c r="B19" s="44">
        <f>65+5.4</f>
        <v>70.400000000000006</v>
      </c>
      <c r="C19" s="44">
        <f>65+5.6</f>
        <v>70.599999999999994</v>
      </c>
      <c r="D19" s="44">
        <f>65+5.1</f>
        <v>70.099999999999994</v>
      </c>
      <c r="E19" s="44">
        <f>65+5.6</f>
        <v>70.599999999999994</v>
      </c>
      <c r="G19" s="41"/>
      <c r="H19" s="41"/>
      <c r="I19" s="41"/>
      <c r="J19" s="41"/>
    </row>
    <row r="20" spans="1:33" s="29" customFormat="1" ht="17.25" customHeight="1" x14ac:dyDescent="0.25">
      <c r="A20" s="48" t="s">
        <v>597</v>
      </c>
      <c r="B20" s="38">
        <v>100</v>
      </c>
      <c r="C20" s="38">
        <v>91</v>
      </c>
      <c r="D20" s="38">
        <v>97</v>
      </c>
      <c r="E20" s="38">
        <v>111</v>
      </c>
      <c r="F20"/>
      <c r="G20" s="41"/>
      <c r="H20" s="41"/>
      <c r="I20" s="41"/>
      <c r="J20" s="41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s="29" customFormat="1" ht="17.25" customHeight="1" x14ac:dyDescent="0.25">
      <c r="A21" s="48" t="s">
        <v>383</v>
      </c>
      <c r="B21" s="44">
        <f>65+4.9</f>
        <v>69.900000000000006</v>
      </c>
      <c r="C21" s="44">
        <f>65+4.9</f>
        <v>69.900000000000006</v>
      </c>
      <c r="D21" s="44">
        <f>65+5.2</f>
        <v>70.2</v>
      </c>
      <c r="E21" s="44">
        <f>65+4.8</f>
        <v>69.8</v>
      </c>
      <c r="F21"/>
      <c r="G21" s="41"/>
      <c r="H21" s="41"/>
      <c r="I21" s="41"/>
      <c r="J21" s="4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29" customFormat="1" ht="17.25" customHeight="1" x14ac:dyDescent="0.35">
      <c r="A22" s="48" t="s">
        <v>598</v>
      </c>
      <c r="B22" s="38">
        <v>100</v>
      </c>
      <c r="C22" s="38">
        <v>93</v>
      </c>
      <c r="D22" s="38">
        <v>102</v>
      </c>
      <c r="E22" s="38">
        <v>105</v>
      </c>
      <c r="F22"/>
      <c r="G22"/>
      <c r="H22"/>
      <c r="I22"/>
      <c r="J22" s="35"/>
      <c r="K22" s="35"/>
      <c r="L22" s="35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29" customFormat="1" ht="17.25" customHeight="1" x14ac:dyDescent="0.25">
      <c r="A23" s="48" t="s">
        <v>599</v>
      </c>
      <c r="B23" s="38">
        <v>100</v>
      </c>
      <c r="C23" s="38">
        <v>91</v>
      </c>
      <c r="D23" s="38">
        <v>97</v>
      </c>
      <c r="E23" s="38">
        <v>112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29" customFormat="1" ht="17.25" customHeight="1" x14ac:dyDescent="0.25">
      <c r="A24" s="54" t="s">
        <v>239</v>
      </c>
      <c r="B24" s="44"/>
      <c r="C24" s="44"/>
      <c r="D24" s="44"/>
      <c r="E24" s="4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4" customFormat="1" ht="17.25" customHeight="1" x14ac:dyDescent="0.3">
      <c r="A25" s="79" t="s">
        <v>240</v>
      </c>
      <c r="B25" s="61">
        <v>5.7</v>
      </c>
      <c r="C25" s="44">
        <v>5.9</v>
      </c>
      <c r="D25" s="44">
        <v>5.4</v>
      </c>
      <c r="E25" s="60" t="s">
        <v>600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3" ht="17.25" customHeight="1" x14ac:dyDescent="0.25">
      <c r="A26" s="54" t="s">
        <v>241</v>
      </c>
      <c r="B26" s="61"/>
      <c r="C26" s="44"/>
      <c r="D26" s="44"/>
      <c r="E26" s="44"/>
    </row>
    <row r="27" spans="1:33" s="29" customFormat="1" ht="17.25" customHeight="1" x14ac:dyDescent="0.25">
      <c r="A27" s="79" t="s">
        <v>601</v>
      </c>
      <c r="B27" s="38">
        <v>7</v>
      </c>
      <c r="C27" s="38">
        <v>7</v>
      </c>
      <c r="D27" s="38">
        <v>7</v>
      </c>
      <c r="E27" s="55" t="s">
        <v>600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29" customFormat="1" ht="17.25" customHeight="1" x14ac:dyDescent="0.25">
      <c r="A28" s="59" t="s">
        <v>602</v>
      </c>
      <c r="B28" s="38">
        <v>4.4777094449437298</v>
      </c>
      <c r="C28" s="38">
        <v>6</v>
      </c>
      <c r="D28" s="38">
        <v>5</v>
      </c>
      <c r="E28" s="55" t="s">
        <v>603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29" customFormat="1" ht="17.25" customHeight="1" x14ac:dyDescent="0.25">
      <c r="A29" s="59" t="s">
        <v>604</v>
      </c>
      <c r="B29" s="38">
        <v>4.5</v>
      </c>
      <c r="C29" s="61">
        <v>3</v>
      </c>
      <c r="D29" s="61">
        <v>6</v>
      </c>
      <c r="E29" s="39" t="s">
        <v>18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29" customFormat="1" ht="17.25" customHeight="1" x14ac:dyDescent="0.25">
      <c r="A30" s="54" t="s">
        <v>245</v>
      </c>
      <c r="B30" s="38"/>
      <c r="C30" s="61"/>
      <c r="D30" s="61"/>
      <c r="E30" s="39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29" customFormat="1" ht="15" customHeight="1" x14ac:dyDescent="0.25">
      <c r="A31" s="59" t="s">
        <v>246</v>
      </c>
      <c r="B31" s="39" t="s">
        <v>18</v>
      </c>
      <c r="C31" s="61">
        <v>1982</v>
      </c>
      <c r="D31" s="61">
        <v>1991</v>
      </c>
      <c r="E31" s="39">
        <v>2021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ht="15" customHeight="1" x14ac:dyDescent="0.25">
      <c r="A32" s="47" t="s">
        <v>247</v>
      </c>
      <c r="B32" s="39" t="s">
        <v>18</v>
      </c>
      <c r="C32" s="58" t="s">
        <v>156</v>
      </c>
      <c r="D32" s="58" t="s">
        <v>159</v>
      </c>
      <c r="E32" s="34" t="s">
        <v>165</v>
      </c>
    </row>
    <row r="33" spans="1:33" ht="15" customHeight="1" x14ac:dyDescent="0.25">
      <c r="A33" s="47" t="s">
        <v>248</v>
      </c>
      <c r="B33" s="39" t="s">
        <v>18</v>
      </c>
      <c r="C33" s="58" t="s">
        <v>156</v>
      </c>
      <c r="D33" s="58" t="s">
        <v>159</v>
      </c>
      <c r="E33" s="34" t="s">
        <v>162</v>
      </c>
    </row>
    <row r="34" spans="1:33" s="31" customFormat="1" ht="15" customHeight="1" x14ac:dyDescent="0.25">
      <c r="A34" s="53" t="s">
        <v>250</v>
      </c>
      <c r="B34" s="39"/>
      <c r="C34" s="61"/>
      <c r="D34" s="61"/>
      <c r="E34" s="61"/>
    </row>
    <row r="35" spans="1:33" ht="15" customHeight="1" x14ac:dyDescent="0.25">
      <c r="A35" s="47" t="s">
        <v>251</v>
      </c>
      <c r="B35" s="39" t="s">
        <v>18</v>
      </c>
      <c r="C35" s="61">
        <v>7</v>
      </c>
      <c r="D35" s="61">
        <v>7</v>
      </c>
      <c r="E35" s="61">
        <v>7</v>
      </c>
    </row>
    <row r="36" spans="1:33" s="29" customFormat="1" ht="15" customHeight="1" x14ac:dyDescent="0.25">
      <c r="A36" s="80" t="s">
        <v>252</v>
      </c>
      <c r="B36" s="39" t="s">
        <v>18</v>
      </c>
      <c r="C36" s="65">
        <v>4</v>
      </c>
      <c r="D36" s="65">
        <v>4</v>
      </c>
      <c r="E36" s="65">
        <v>4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ht="15.65" customHeight="1" x14ac:dyDescent="0.25">
      <c r="A37" s="94" t="s">
        <v>605</v>
      </c>
      <c r="B37" s="106"/>
      <c r="C37" s="106"/>
      <c r="D37" s="106"/>
      <c r="E37" s="93"/>
    </row>
  </sheetData>
  <sheetProtection algorithmName="SHA-512" hashValue="4qdLLI5GOd6JCi7fbuQn1rrxFp9A1zfrS85pHUAjRrQObZ70UZKBp63IpmGOjhbWDm55YhFrlytVC8r37PPA2Q==" saltValue="ZdtQgmer5d1vufy5FJp1ww==" spinCount="100000" sheet="1" objects="1" scenarios="1"/>
  <phoneticPr fontId="8" type="noConversion"/>
  <printOptions horizontalCentered="1" verticalCentered="1"/>
  <pageMargins left="0.6692913385826772" right="0.19685039370078741" top="0.43307086614173229" bottom="0.27559055118110237" header="0.19685039370078741" footer="0.15748031496062992"/>
  <pageSetup paperSize="9" scale="78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BC50"/>
  <sheetViews>
    <sheetView zoomScale="90" zoomScaleNormal="90" workbookViewId="0">
      <selection activeCell="A13" sqref="A13"/>
    </sheetView>
  </sheetViews>
  <sheetFormatPr defaultColWidth="9.26953125" defaultRowHeight="12.5" x14ac:dyDescent="0.25"/>
  <cols>
    <col min="1" max="1" width="152.26953125" style="7" bestFit="1" customWidth="1"/>
    <col min="2" max="2" width="25.7265625" style="132" bestFit="1" customWidth="1"/>
    <col min="3" max="3" width="34.1796875" style="132" bestFit="1" customWidth="1"/>
    <col min="4" max="4" width="11.7265625" style="132" bestFit="1" customWidth="1"/>
    <col min="5" max="5" width="10.54296875" style="132" bestFit="1" customWidth="1"/>
    <col min="6" max="6" width="9.26953125" style="132" customWidth="1"/>
    <col min="7" max="7" width="9.26953125" style="123"/>
    <col min="8" max="10" width="9.26953125" style="121"/>
    <col min="11" max="16384" width="9.26953125" style="7"/>
  </cols>
  <sheetData>
    <row r="1" spans="1:55" ht="14" x14ac:dyDescent="0.25">
      <c r="A1" s="88" t="s">
        <v>174</v>
      </c>
      <c r="B1" s="119"/>
      <c r="C1" s="119"/>
      <c r="D1" s="108"/>
      <c r="E1" s="108"/>
      <c r="F1" s="108"/>
      <c r="G1" s="120"/>
      <c r="H1" s="185"/>
      <c r="I1" s="185"/>
      <c r="J1" s="185"/>
    </row>
    <row r="2" spans="1:55" ht="15" customHeight="1" x14ac:dyDescent="0.25">
      <c r="A2" s="122"/>
      <c r="B2" s="119"/>
      <c r="C2" s="119"/>
      <c r="D2" s="108"/>
      <c r="E2" s="108"/>
      <c r="F2" s="108"/>
      <c r="H2" s="185"/>
      <c r="I2" s="185"/>
      <c r="J2" s="185"/>
    </row>
    <row r="3" spans="1:55" ht="14" x14ac:dyDescent="0.25">
      <c r="A3" s="91" t="s">
        <v>174</v>
      </c>
      <c r="B3" s="91" t="s">
        <v>208</v>
      </c>
      <c r="C3" s="91" t="s">
        <v>209</v>
      </c>
      <c r="D3" s="91" t="s">
        <v>210</v>
      </c>
      <c r="E3" s="91" t="s">
        <v>211</v>
      </c>
      <c r="F3" s="91" t="s">
        <v>212</v>
      </c>
      <c r="H3" s="123"/>
      <c r="I3" s="123"/>
      <c r="J3" s="185"/>
    </row>
    <row r="4" spans="1:55" ht="17.25" customHeight="1" x14ac:dyDescent="0.25">
      <c r="A4" s="69" t="s">
        <v>213</v>
      </c>
      <c r="B4" s="124" t="s">
        <v>18</v>
      </c>
      <c r="C4" s="124" t="s">
        <v>18</v>
      </c>
      <c r="D4" s="32" t="s">
        <v>6</v>
      </c>
      <c r="E4" s="32" t="s">
        <v>9</v>
      </c>
      <c r="F4" s="32" t="s">
        <v>6</v>
      </c>
      <c r="H4" s="123"/>
      <c r="I4" s="123"/>
      <c r="J4" s="185"/>
    </row>
    <row r="5" spans="1:55" ht="17.25" customHeight="1" x14ac:dyDescent="0.25">
      <c r="A5" s="56" t="s">
        <v>214</v>
      </c>
      <c r="B5" s="124" t="s">
        <v>18</v>
      </c>
      <c r="C5" s="124" t="s">
        <v>18</v>
      </c>
      <c r="D5" s="33">
        <v>133.023</v>
      </c>
      <c r="E5" s="33">
        <v>134.69499999999999</v>
      </c>
      <c r="F5" s="33">
        <v>137.03100000000001</v>
      </c>
      <c r="H5" s="123"/>
      <c r="I5" s="123"/>
      <c r="J5" s="185"/>
    </row>
    <row r="6" spans="1:55" ht="16.5" customHeight="1" x14ac:dyDescent="0.25">
      <c r="A6" s="53" t="s">
        <v>215</v>
      </c>
      <c r="B6" s="34"/>
      <c r="C6" s="34"/>
      <c r="D6" s="34"/>
      <c r="E6" s="34"/>
      <c r="F6" s="34"/>
      <c r="H6" s="123"/>
      <c r="I6" s="123"/>
      <c r="J6" s="185"/>
    </row>
    <row r="7" spans="1:55" ht="16.5" customHeight="1" x14ac:dyDescent="0.25">
      <c r="A7" s="48" t="s">
        <v>216</v>
      </c>
      <c r="B7" s="49">
        <v>100</v>
      </c>
      <c r="C7" s="49">
        <v>95.893150409770556</v>
      </c>
      <c r="D7" s="49">
        <v>95.95960117169858</v>
      </c>
      <c r="E7" s="49">
        <v>95.131849562346488</v>
      </c>
      <c r="F7" s="49">
        <v>95.826699647842517</v>
      </c>
      <c r="G7" s="125"/>
      <c r="H7" s="123"/>
      <c r="I7" s="123"/>
      <c r="J7" s="185"/>
    </row>
    <row r="8" spans="1:55" ht="16.5" customHeight="1" x14ac:dyDescent="0.25">
      <c r="A8" s="111" t="s">
        <v>217</v>
      </c>
      <c r="B8" s="126">
        <f>65+11.8875479735432</f>
        <v>76.887547973543207</v>
      </c>
      <c r="C8" s="126">
        <f>65+10.5011528234786</f>
        <v>75.501152823478606</v>
      </c>
      <c r="D8" s="126">
        <f>65+9.9886875826993</f>
        <v>74.988687582699299</v>
      </c>
      <c r="E8" s="126">
        <f>65+9.83641792275616</f>
        <v>74.836417922756155</v>
      </c>
      <c r="F8" s="126">
        <f>65+11.013618064258</f>
        <v>76.013618064257997</v>
      </c>
      <c r="G8" s="125"/>
      <c r="H8" s="123"/>
      <c r="I8" s="123"/>
      <c r="J8" s="185"/>
    </row>
    <row r="9" spans="1:55" ht="16.5" customHeight="1" x14ac:dyDescent="0.25">
      <c r="A9" s="50" t="s">
        <v>218</v>
      </c>
      <c r="B9" s="38">
        <v>100</v>
      </c>
      <c r="C9" s="38">
        <v>94.476693751038965</v>
      </c>
      <c r="D9" s="38">
        <v>93.999622485063142</v>
      </c>
      <c r="E9" s="38">
        <v>93.090446585469877</v>
      </c>
      <c r="F9" s="38">
        <v>94.953765017014774</v>
      </c>
      <c r="G9" s="125"/>
      <c r="H9" s="123"/>
      <c r="I9" s="123"/>
      <c r="J9" s="185"/>
    </row>
    <row r="10" spans="1:55" ht="16.5" customHeight="1" x14ac:dyDescent="0.25">
      <c r="A10" s="48" t="s">
        <v>219</v>
      </c>
      <c r="B10" s="49">
        <v>70.831613448245761</v>
      </c>
      <c r="C10" s="49">
        <v>69.20662285809837</v>
      </c>
      <c r="D10" s="49">
        <v>70.450859397122542</v>
      </c>
      <c r="E10" s="49">
        <v>63.522451474672422</v>
      </c>
      <c r="F10" s="49">
        <v>67.962386319074199</v>
      </c>
      <c r="G10" s="125"/>
      <c r="H10" s="185"/>
      <c r="I10" s="185"/>
      <c r="J10" s="185"/>
    </row>
    <row r="11" spans="1:55" ht="16.5" customHeight="1" x14ac:dyDescent="0.25">
      <c r="A11" s="53" t="s">
        <v>220</v>
      </c>
      <c r="B11" s="34"/>
      <c r="C11" s="34"/>
      <c r="D11" s="34"/>
      <c r="E11" s="34"/>
      <c r="F11" s="34"/>
      <c r="G11" s="125"/>
      <c r="H11" s="123"/>
      <c r="I11" s="123"/>
      <c r="J11" s="185"/>
    </row>
    <row r="12" spans="1:55" ht="16.5" customHeight="1" x14ac:dyDescent="0.25">
      <c r="A12" s="48" t="s">
        <v>221</v>
      </c>
      <c r="B12" s="49">
        <v>100</v>
      </c>
      <c r="C12" s="49">
        <v>104.70187487837065</v>
      </c>
      <c r="D12" s="49">
        <v>105.69374313404749</v>
      </c>
      <c r="E12" s="49">
        <v>101.42469210110286</v>
      </c>
      <c r="F12" s="49">
        <v>103.71000662269377</v>
      </c>
      <c r="G12" s="125"/>
      <c r="H12" s="123"/>
      <c r="I12" s="123"/>
      <c r="J12" s="185"/>
    </row>
    <row r="13" spans="1:55" ht="28.5" customHeight="1" x14ac:dyDescent="0.25">
      <c r="A13" s="51" t="s">
        <v>222</v>
      </c>
      <c r="B13" s="38">
        <v>100</v>
      </c>
      <c r="C13" s="38">
        <v>100.97761794806408</v>
      </c>
      <c r="D13" s="38">
        <v>100.66985393554859</v>
      </c>
      <c r="E13" s="38">
        <v>97.763131264220505</v>
      </c>
      <c r="F13" s="38">
        <v>101.2853819605796</v>
      </c>
      <c r="G13" s="127"/>
      <c r="H13" s="123"/>
      <c r="I13" s="123"/>
      <c r="J13" s="185"/>
    </row>
    <row r="14" spans="1:55" ht="16.5" customHeight="1" x14ac:dyDescent="0.25">
      <c r="A14" s="48" t="s">
        <v>223</v>
      </c>
      <c r="B14" s="49">
        <v>100</v>
      </c>
      <c r="C14" s="49">
        <v>101.71634934384021</v>
      </c>
      <c r="D14" s="49">
        <v>103.3956487932802</v>
      </c>
      <c r="E14" s="49">
        <v>101.47462723705893</v>
      </c>
      <c r="F14" s="49">
        <v>100.0370498944002</v>
      </c>
      <c r="G14" s="125"/>
      <c r="H14" s="185"/>
      <c r="I14" s="185"/>
      <c r="J14" s="185"/>
    </row>
    <row r="15" spans="1:55" ht="16.5" customHeight="1" x14ac:dyDescent="0.25">
      <c r="A15" s="111" t="s">
        <v>224</v>
      </c>
      <c r="B15" s="49">
        <v>100</v>
      </c>
      <c r="C15" s="128">
        <v>103.39537995595873</v>
      </c>
      <c r="D15" s="49">
        <v>104.67236787148425</v>
      </c>
      <c r="E15" s="49">
        <v>101.44633066001715</v>
      </c>
      <c r="F15" s="49">
        <v>102.11839204043322</v>
      </c>
      <c r="G15" s="125"/>
      <c r="H15" s="185"/>
      <c r="I15" s="185"/>
      <c r="J15" s="185"/>
    </row>
    <row r="16" spans="1:55" s="21" customFormat="1" ht="16.5" customHeight="1" x14ac:dyDescent="0.25">
      <c r="A16" s="48" t="s">
        <v>225</v>
      </c>
      <c r="B16" s="49">
        <v>66.243111205308352</v>
      </c>
      <c r="C16" s="49">
        <v>67.379701423157968</v>
      </c>
      <c r="D16" s="128">
        <v>67.809694747085786</v>
      </c>
      <c r="E16" s="128">
        <v>61.497115476045614</v>
      </c>
      <c r="F16" s="128">
        <v>66.949708099230151</v>
      </c>
      <c r="G16" s="125"/>
      <c r="H16" s="185"/>
      <c r="I16" s="185"/>
      <c r="J16" s="185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</row>
    <row r="17" spans="1:55" ht="16.5" customHeight="1" x14ac:dyDescent="0.25">
      <c r="A17" s="53" t="s">
        <v>226</v>
      </c>
      <c r="B17" s="34"/>
      <c r="C17" s="34"/>
      <c r="D17" s="34"/>
      <c r="E17" s="34"/>
      <c r="F17" s="34"/>
      <c r="G17" s="125"/>
      <c r="H17" s="185"/>
      <c r="I17" s="185"/>
      <c r="J17" s="185"/>
    </row>
    <row r="18" spans="1:55" ht="16.5" customHeight="1" x14ac:dyDescent="0.25">
      <c r="A18" s="48" t="s">
        <v>227</v>
      </c>
      <c r="B18" s="49">
        <v>100</v>
      </c>
      <c r="C18" s="49">
        <v>115.41607398620273</v>
      </c>
      <c r="D18" s="49">
        <v>121.37611062796944</v>
      </c>
      <c r="E18" s="49">
        <v>113.78467102205636</v>
      </c>
      <c r="F18" s="49">
        <v>109.45603734443601</v>
      </c>
      <c r="G18" s="125"/>
      <c r="H18" s="185"/>
      <c r="I18" s="185"/>
      <c r="J18" s="185"/>
    </row>
    <row r="19" spans="1:55" ht="16.5" customHeight="1" x14ac:dyDescent="0.25">
      <c r="A19" s="48" t="s">
        <v>228</v>
      </c>
      <c r="B19" s="49">
        <v>100</v>
      </c>
      <c r="C19" s="49">
        <v>102.32527408272034</v>
      </c>
      <c r="D19" s="49">
        <v>105.54758876196486</v>
      </c>
      <c r="E19" s="49">
        <v>102.64553435334653</v>
      </c>
      <c r="F19" s="49">
        <v>99.10295940347585</v>
      </c>
      <c r="G19" s="125"/>
      <c r="H19" s="185"/>
      <c r="I19" s="185"/>
      <c r="J19" s="185"/>
    </row>
    <row r="20" spans="1:55" ht="16.5" customHeight="1" x14ac:dyDescent="0.25">
      <c r="A20" s="48" t="s">
        <v>229</v>
      </c>
      <c r="B20" s="49">
        <v>100</v>
      </c>
      <c r="C20" s="49">
        <v>89.479593052053247</v>
      </c>
      <c r="D20" s="49">
        <v>90.573248618077372</v>
      </c>
      <c r="E20" s="49">
        <v>87.142456506455872</v>
      </c>
      <c r="F20" s="49">
        <v>88.385937486029121</v>
      </c>
      <c r="G20" s="125"/>
      <c r="H20" s="185"/>
      <c r="I20" s="185"/>
      <c r="J20" s="185"/>
    </row>
    <row r="21" spans="1:55" ht="16.5" customHeight="1" x14ac:dyDescent="0.25">
      <c r="A21" s="48" t="s">
        <v>230</v>
      </c>
      <c r="B21" s="49">
        <v>100</v>
      </c>
      <c r="C21" s="49">
        <v>94.54766688024722</v>
      </c>
      <c r="D21" s="49">
        <v>91.431657647394147</v>
      </c>
      <c r="E21" s="49">
        <v>96.169614987824957</v>
      </c>
      <c r="F21" s="49">
        <v>97.663676113100308</v>
      </c>
      <c r="G21" s="125"/>
      <c r="H21" s="185"/>
      <c r="I21" s="185"/>
      <c r="J21" s="185"/>
    </row>
    <row r="22" spans="1:55" ht="16.5" customHeight="1" x14ac:dyDescent="0.25">
      <c r="A22" s="48" t="s">
        <v>231</v>
      </c>
      <c r="B22" s="49">
        <v>100</v>
      </c>
      <c r="C22" s="49">
        <v>98.85814642526617</v>
      </c>
      <c r="D22" s="49">
        <v>95.073360018379091</v>
      </c>
      <c r="E22" s="49">
        <v>96.137535367059186</v>
      </c>
      <c r="F22" s="49">
        <v>102.64293283215326</v>
      </c>
      <c r="G22" s="125"/>
      <c r="H22" s="185"/>
      <c r="I22" s="185"/>
      <c r="J22" s="185"/>
    </row>
    <row r="23" spans="1:55" s="19" customFormat="1" ht="16.5" customHeight="1" x14ac:dyDescent="0.25">
      <c r="A23" s="129" t="s">
        <v>232</v>
      </c>
      <c r="B23" s="49"/>
      <c r="C23" s="49"/>
      <c r="D23" s="34"/>
      <c r="E23" s="34"/>
      <c r="F23" s="34"/>
      <c r="G23" s="125"/>
      <c r="H23" s="185"/>
      <c r="I23" s="185"/>
      <c r="J23" s="185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</row>
    <row r="24" spans="1:55" ht="16.5" customHeight="1" x14ac:dyDescent="0.25">
      <c r="A24" s="48" t="s">
        <v>233</v>
      </c>
      <c r="B24" s="49">
        <v>100</v>
      </c>
      <c r="C24" s="49">
        <v>96.529474748441075</v>
      </c>
      <c r="D24" s="49">
        <v>99.861934609782708</v>
      </c>
      <c r="E24" s="49">
        <v>94.273000135039098</v>
      </c>
      <c r="F24" s="49">
        <v>93.197014887099456</v>
      </c>
      <c r="G24" s="130"/>
      <c r="H24" s="185"/>
      <c r="I24" s="185"/>
      <c r="J24" s="185"/>
    </row>
    <row r="25" spans="1:55" ht="16.5" customHeight="1" x14ac:dyDescent="0.25">
      <c r="A25" s="111" t="s">
        <v>234</v>
      </c>
      <c r="B25" s="126">
        <f>65+6.751636853557</f>
        <v>71.751636853557002</v>
      </c>
      <c r="C25" s="126">
        <f>65+7.07602100547543</f>
        <v>72.076021005475425</v>
      </c>
      <c r="D25" s="126">
        <f>65+5.25603825502355</f>
        <v>70.256038255023554</v>
      </c>
      <c r="E25" s="126">
        <f>65+6.22214743242853</f>
        <v>71.222147432428528</v>
      </c>
      <c r="F25" s="126">
        <f>65+8.8960037559273</f>
        <v>73.896003755927296</v>
      </c>
      <c r="G25" s="125"/>
      <c r="H25" s="185"/>
      <c r="I25" s="185"/>
      <c r="J25" s="185"/>
    </row>
    <row r="26" spans="1:55" ht="16.5" customHeight="1" x14ac:dyDescent="0.25">
      <c r="A26" s="48" t="s">
        <v>235</v>
      </c>
      <c r="B26" s="49">
        <v>100</v>
      </c>
      <c r="C26" s="49">
        <v>105.53761187224988</v>
      </c>
      <c r="D26" s="49">
        <v>106.07003040929487</v>
      </c>
      <c r="E26" s="49">
        <v>102.44075292585151</v>
      </c>
      <c r="F26" s="49">
        <v>105.00519333520488</v>
      </c>
      <c r="G26" s="125"/>
      <c r="H26" s="185"/>
      <c r="I26" s="185"/>
      <c r="J26" s="185"/>
    </row>
    <row r="27" spans="1:55" s="132" customFormat="1" ht="16.5" customHeight="1" x14ac:dyDescent="0.25">
      <c r="A27" s="111" t="s">
        <v>236</v>
      </c>
      <c r="B27" s="126">
        <f>65+7.7150581746045</f>
        <v>72.715058174604494</v>
      </c>
      <c r="C27" s="126">
        <f>65+6.210918445475</f>
        <v>71.210918445475002</v>
      </c>
      <c r="D27" s="126">
        <f>65+4.69669881901157</f>
        <v>69.696698819011573</v>
      </c>
      <c r="E27" s="126">
        <f>65+4.2082784537028</f>
        <v>69.208278453702803</v>
      </c>
      <c r="F27" s="126">
        <f>65+7.72513807193839</f>
        <v>72.725138071938389</v>
      </c>
      <c r="G27" s="125"/>
      <c r="H27" s="186"/>
      <c r="I27" s="186"/>
      <c r="J27" s="186"/>
      <c r="K27" s="131"/>
      <c r="L27" s="131"/>
      <c r="M27" s="131"/>
      <c r="N27" s="131"/>
      <c r="O27" s="131"/>
      <c r="P27" s="131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</row>
    <row r="28" spans="1:55" ht="16.5" customHeight="1" x14ac:dyDescent="0.25">
      <c r="A28" s="48" t="s">
        <v>237</v>
      </c>
      <c r="B28" s="49">
        <v>100</v>
      </c>
      <c r="C28" s="49">
        <v>106.75097830478397</v>
      </c>
      <c r="D28" s="49">
        <v>105.22716105687915</v>
      </c>
      <c r="E28" s="49">
        <v>99.217422940353032</v>
      </c>
      <c r="F28" s="49">
        <v>108.27479555268877</v>
      </c>
      <c r="G28" s="125"/>
      <c r="H28" s="185"/>
      <c r="I28" s="185"/>
      <c r="J28" s="185"/>
    </row>
    <row r="29" spans="1:55" ht="16.5" customHeight="1" x14ac:dyDescent="0.25">
      <c r="A29" s="48" t="s">
        <v>238</v>
      </c>
      <c r="B29" s="49">
        <v>100</v>
      </c>
      <c r="C29" s="49">
        <v>106.15418218394224</v>
      </c>
      <c r="D29" s="49">
        <v>104.73802685238381</v>
      </c>
      <c r="E29" s="49">
        <v>104.37621464340083</v>
      </c>
      <c r="F29" s="49">
        <v>107.57033751550068</v>
      </c>
      <c r="G29" s="125"/>
      <c r="H29" s="185"/>
      <c r="I29" s="185"/>
      <c r="J29" s="185"/>
    </row>
    <row r="30" spans="1:55" ht="16.5" customHeight="1" x14ac:dyDescent="0.25">
      <c r="A30" s="54" t="s">
        <v>239</v>
      </c>
      <c r="B30" s="126"/>
      <c r="C30" s="126"/>
      <c r="D30" s="126"/>
      <c r="E30" s="126"/>
      <c r="F30" s="126"/>
      <c r="G30" s="125"/>
      <c r="H30" s="185"/>
      <c r="I30" s="185"/>
      <c r="J30" s="185"/>
    </row>
    <row r="31" spans="1:55" ht="16.5" customHeight="1" x14ac:dyDescent="0.25">
      <c r="A31" s="47" t="s">
        <v>240</v>
      </c>
      <c r="B31" s="126">
        <v>7.4658701251157149</v>
      </c>
      <c r="C31" s="126">
        <v>7.2791644914560187</v>
      </c>
      <c r="D31" s="126">
        <v>7.1837399972506759</v>
      </c>
      <c r="E31" s="126">
        <v>7.4374216384333769</v>
      </c>
      <c r="F31" s="126">
        <v>7.3745889856613625</v>
      </c>
      <c r="G31" s="125"/>
      <c r="H31" s="185"/>
      <c r="I31" s="185"/>
      <c r="J31" s="185"/>
    </row>
    <row r="32" spans="1:55" ht="16.5" customHeight="1" x14ac:dyDescent="0.25">
      <c r="A32" s="54" t="s">
        <v>241</v>
      </c>
      <c r="B32" s="126"/>
      <c r="C32" s="126"/>
      <c r="D32" s="126"/>
      <c r="E32" s="126"/>
      <c r="F32" s="126"/>
      <c r="G32" s="125"/>
      <c r="H32" s="185"/>
      <c r="I32" s="185"/>
      <c r="J32" s="185"/>
    </row>
    <row r="33" spans="1:7" ht="16.5" customHeight="1" x14ac:dyDescent="0.25">
      <c r="A33" s="47" t="s">
        <v>242</v>
      </c>
      <c r="B33" s="60">
        <v>5.8125050399999987</v>
      </c>
      <c r="C33" s="60">
        <v>6.05</v>
      </c>
      <c r="D33" s="126">
        <v>6.3</v>
      </c>
      <c r="E33" s="126">
        <v>6.3</v>
      </c>
      <c r="F33" s="126">
        <v>5.8</v>
      </c>
      <c r="G33" s="125"/>
    </row>
    <row r="34" spans="1:7" ht="16.5" customHeight="1" x14ac:dyDescent="0.25">
      <c r="A34" s="47" t="s">
        <v>243</v>
      </c>
      <c r="B34" s="60">
        <v>5.3193624319999993</v>
      </c>
      <c r="C34" s="60">
        <v>6.25</v>
      </c>
      <c r="D34" s="133">
        <v>6.2</v>
      </c>
      <c r="E34" s="133">
        <v>3.5</v>
      </c>
      <c r="F34" s="133">
        <v>6.3</v>
      </c>
      <c r="G34" s="125"/>
    </row>
    <row r="35" spans="1:7" ht="16.5" customHeight="1" x14ac:dyDescent="0.25">
      <c r="A35" s="47" t="s">
        <v>244</v>
      </c>
      <c r="B35" s="60">
        <v>6.6860034999999991</v>
      </c>
      <c r="C35" s="60">
        <v>5.75</v>
      </c>
      <c r="D35" s="126">
        <v>5.0999999999999996</v>
      </c>
      <c r="E35" s="126">
        <v>8.3000000000000007</v>
      </c>
      <c r="F35" s="133">
        <v>6.4</v>
      </c>
      <c r="G35" s="125"/>
    </row>
    <row r="36" spans="1:7" ht="16.5" customHeight="1" x14ac:dyDescent="0.25">
      <c r="A36" s="54" t="s">
        <v>245</v>
      </c>
      <c r="B36" s="126"/>
      <c r="C36" s="126"/>
      <c r="D36" s="126"/>
      <c r="E36" s="126"/>
      <c r="F36" s="126"/>
      <c r="G36" s="125"/>
    </row>
    <row r="37" spans="1:7" ht="16.5" customHeight="1" x14ac:dyDescent="0.25">
      <c r="A37" s="47" t="s">
        <v>246</v>
      </c>
      <c r="B37" s="39" t="s">
        <v>18</v>
      </c>
      <c r="C37" s="39" t="s">
        <v>18</v>
      </c>
      <c r="D37" s="34">
        <v>2009</v>
      </c>
      <c r="E37" s="34">
        <v>2009</v>
      </c>
      <c r="F37" s="134">
        <v>2016</v>
      </c>
      <c r="G37" s="125"/>
    </row>
    <row r="38" spans="1:7" ht="16.5" customHeight="1" x14ac:dyDescent="0.25">
      <c r="A38" s="47" t="s">
        <v>247</v>
      </c>
      <c r="B38" s="39" t="s">
        <v>18</v>
      </c>
      <c r="C38" s="39" t="s">
        <v>18</v>
      </c>
      <c r="D38" s="58" t="s">
        <v>154</v>
      </c>
      <c r="E38" s="58" t="s">
        <v>148</v>
      </c>
      <c r="F38" s="58" t="s">
        <v>148</v>
      </c>
      <c r="G38" s="125"/>
    </row>
    <row r="39" spans="1:7" ht="16.5" customHeight="1" x14ac:dyDescent="0.25">
      <c r="A39" s="47" t="s">
        <v>248</v>
      </c>
      <c r="B39" s="39" t="s">
        <v>18</v>
      </c>
      <c r="C39" s="39" t="s">
        <v>18</v>
      </c>
      <c r="D39" s="58" t="s">
        <v>156</v>
      </c>
      <c r="E39" s="58" t="s">
        <v>249</v>
      </c>
      <c r="F39" s="58" t="s">
        <v>249</v>
      </c>
      <c r="G39" s="125"/>
    </row>
    <row r="40" spans="1:7" ht="16.5" customHeight="1" x14ac:dyDescent="0.25">
      <c r="A40" s="53" t="s">
        <v>250</v>
      </c>
      <c r="B40" s="39"/>
      <c r="C40" s="39"/>
      <c r="D40" s="134"/>
      <c r="E40" s="134"/>
      <c r="F40" s="134"/>
    </row>
    <row r="41" spans="1:7" ht="16.5" customHeight="1" x14ac:dyDescent="0.25">
      <c r="A41" s="47" t="s">
        <v>251</v>
      </c>
      <c r="B41" s="39" t="s">
        <v>18</v>
      </c>
      <c r="C41" s="39" t="s">
        <v>18</v>
      </c>
      <c r="D41" s="134">
        <v>20</v>
      </c>
      <c r="E41" s="134">
        <v>17</v>
      </c>
      <c r="F41" s="134">
        <v>17</v>
      </c>
    </row>
    <row r="42" spans="1:7" ht="16.5" customHeight="1" x14ac:dyDescent="0.25">
      <c r="A42" s="47" t="s">
        <v>252</v>
      </c>
      <c r="B42" s="39" t="s">
        <v>18</v>
      </c>
      <c r="C42" s="39" t="s">
        <v>18</v>
      </c>
      <c r="D42" s="34">
        <v>19</v>
      </c>
      <c r="E42" s="34">
        <v>16</v>
      </c>
      <c r="F42" s="34">
        <v>16</v>
      </c>
    </row>
    <row r="43" spans="1:7" ht="16.5" customHeight="1" x14ac:dyDescent="0.25">
      <c r="A43" s="47" t="s">
        <v>253</v>
      </c>
      <c r="B43" s="39" t="s">
        <v>18</v>
      </c>
      <c r="C43" s="39" t="s">
        <v>18</v>
      </c>
      <c r="D43" s="34">
        <v>16</v>
      </c>
      <c r="E43" s="34">
        <v>13</v>
      </c>
      <c r="F43" s="34">
        <v>13</v>
      </c>
    </row>
    <row r="44" spans="1:7" x14ac:dyDescent="0.25">
      <c r="A44" s="47" t="s">
        <v>254</v>
      </c>
      <c r="B44" s="34"/>
      <c r="C44" s="34"/>
      <c r="D44" s="34"/>
      <c r="E44" s="34"/>
      <c r="F44" s="34"/>
    </row>
    <row r="45" spans="1:7" x14ac:dyDescent="0.25">
      <c r="A45" s="47" t="s">
        <v>255</v>
      </c>
      <c r="B45" s="34"/>
      <c r="C45" s="34"/>
      <c r="D45" s="34"/>
      <c r="E45" s="34"/>
      <c r="F45" s="34"/>
    </row>
    <row r="46" spans="1:7" x14ac:dyDescent="0.25">
      <c r="A46" s="47" t="s">
        <v>256</v>
      </c>
      <c r="B46" s="34"/>
      <c r="C46" s="34"/>
      <c r="D46" s="34"/>
      <c r="E46" s="34"/>
      <c r="F46" s="34"/>
    </row>
    <row r="47" spans="1:7" x14ac:dyDescent="0.25">
      <c r="A47" s="47" t="s">
        <v>257</v>
      </c>
      <c r="B47" s="34"/>
      <c r="C47" s="34"/>
      <c r="D47" s="34"/>
      <c r="E47" s="34"/>
      <c r="F47" s="34"/>
    </row>
    <row r="48" spans="1:7" x14ac:dyDescent="0.25">
      <c r="A48" s="47" t="s">
        <v>258</v>
      </c>
      <c r="B48" s="34"/>
      <c r="C48" s="34"/>
      <c r="D48" s="34"/>
      <c r="E48" s="34"/>
      <c r="F48" s="34"/>
    </row>
    <row r="49" spans="1:6" x14ac:dyDescent="0.25">
      <c r="A49" s="47" t="s">
        <v>259</v>
      </c>
      <c r="B49" s="34"/>
      <c r="C49" s="34"/>
      <c r="D49" s="34"/>
      <c r="E49" s="34"/>
      <c r="F49" s="34"/>
    </row>
    <row r="50" spans="1:6" x14ac:dyDescent="0.25">
      <c r="A50" s="47" t="s">
        <v>260</v>
      </c>
      <c r="B50" s="34"/>
      <c r="C50" s="34"/>
      <c r="D50" s="34"/>
      <c r="E50" s="34"/>
      <c r="F50" s="34"/>
    </row>
  </sheetData>
  <sheetProtection algorithmName="SHA-512" hashValue="2MGTBzaGsS+ngtEoO5oL2HxCTLjfT4Z/7qA0AwVAJZw7MUIQrz1osX93O4AXDAZ4zzNWne363DcQKQgh0MYi5g==" saltValue="w/0z3GxbD3XmwvB9APAQDg==" spinCount="100000" sheet="1" objects="1" scenarios="1"/>
  <phoneticPr fontId="8" type="noConversion"/>
  <printOptions horizontalCentered="1" verticalCentered="1"/>
  <pageMargins left="0.39370078740157483" right="0.39370078740157483" top="0.39370078740157483" bottom="0.39370078740157483" header="0.19685039370078741" footer="0.15748031496062992"/>
  <pageSetup paperSize="8" scale="83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A6E51-4A94-456E-B641-366AF1956FD8}">
  <dimension ref="A1:F50"/>
  <sheetViews>
    <sheetView workbookViewId="0">
      <selection activeCell="A20" sqref="A20"/>
    </sheetView>
  </sheetViews>
  <sheetFormatPr defaultRowHeight="12.5" x14ac:dyDescent="0.25"/>
  <cols>
    <col min="1" max="1" width="144.1796875" style="135" bestFit="1" customWidth="1"/>
    <col min="2" max="2" width="23.1796875" style="135" bestFit="1" customWidth="1"/>
    <col min="3" max="3" width="33.81640625" style="135" bestFit="1" customWidth="1"/>
    <col min="4" max="4" width="13" style="135" bestFit="1" customWidth="1"/>
    <col min="5" max="5" width="9" style="135" bestFit="1" customWidth="1"/>
    <col min="6" max="6" width="11.453125" style="135" bestFit="1" customWidth="1"/>
  </cols>
  <sheetData>
    <row r="1" spans="1:6" ht="14" x14ac:dyDescent="0.25">
      <c r="A1" s="88" t="s">
        <v>177</v>
      </c>
      <c r="B1" s="187"/>
      <c r="C1" s="187"/>
      <c r="D1" s="187"/>
      <c r="E1" s="187"/>
      <c r="F1" s="187"/>
    </row>
    <row r="3" spans="1:6" ht="14" x14ac:dyDescent="0.25">
      <c r="A3" s="92" t="s">
        <v>177</v>
      </c>
      <c r="B3" s="92" t="s">
        <v>208</v>
      </c>
      <c r="C3" s="92" t="s">
        <v>261</v>
      </c>
      <c r="D3" s="92" t="s">
        <v>262</v>
      </c>
      <c r="E3" s="92" t="s">
        <v>263</v>
      </c>
      <c r="F3" s="92" t="s">
        <v>264</v>
      </c>
    </row>
    <row r="4" spans="1:6" ht="14.5" x14ac:dyDescent="0.25">
      <c r="A4" s="136" t="s">
        <v>213</v>
      </c>
      <c r="B4" s="137" t="s">
        <v>18</v>
      </c>
      <c r="C4" s="137" t="s">
        <v>18</v>
      </c>
      <c r="D4" s="138" t="s">
        <v>6</v>
      </c>
      <c r="E4" s="138" t="s">
        <v>6</v>
      </c>
      <c r="F4" s="139" t="s">
        <v>15</v>
      </c>
    </row>
    <row r="5" spans="1:6" ht="14.5" x14ac:dyDescent="0.35">
      <c r="A5" s="98" t="s">
        <v>214</v>
      </c>
      <c r="B5" s="140" t="s">
        <v>18</v>
      </c>
      <c r="C5" s="140" t="s">
        <v>18</v>
      </c>
      <c r="D5" s="99">
        <v>133.958</v>
      </c>
      <c r="E5" s="99">
        <v>138.12</v>
      </c>
      <c r="F5" s="99">
        <v>139.572</v>
      </c>
    </row>
    <row r="6" spans="1:6" ht="13" x14ac:dyDescent="0.25">
      <c r="A6" s="53" t="s">
        <v>215</v>
      </c>
      <c r="B6" s="34"/>
      <c r="C6" s="34"/>
      <c r="D6" s="34"/>
      <c r="E6" s="34"/>
      <c r="F6" s="34"/>
    </row>
    <row r="7" spans="1:6" x14ac:dyDescent="0.25">
      <c r="A7" s="48" t="s">
        <v>216</v>
      </c>
      <c r="B7" s="49">
        <v>100</v>
      </c>
      <c r="C7" s="49">
        <v>93.41277801818633</v>
      </c>
      <c r="D7" s="49">
        <v>93.392141693412412</v>
      </c>
      <c r="E7" s="49">
        <v>93.433414342960262</v>
      </c>
      <c r="F7" s="49">
        <v>98.175115806614698</v>
      </c>
    </row>
    <row r="8" spans="1:6" x14ac:dyDescent="0.25">
      <c r="A8" s="111" t="s">
        <v>217</v>
      </c>
      <c r="B8" s="126">
        <f>65+11.8875479735432</f>
        <v>76.887547973543207</v>
      </c>
      <c r="C8" s="126">
        <f>65+11.5093390051178</f>
        <v>76.509339005117795</v>
      </c>
      <c r="D8" s="126">
        <f>65+11.0219451928219</f>
        <v>76.021945192821903</v>
      </c>
      <c r="E8" s="126">
        <f>65+11.9967328174137</f>
        <v>76.996732817413701</v>
      </c>
      <c r="F8" s="126">
        <f>65+11.1973049295323</f>
        <v>76.197304929532294</v>
      </c>
    </row>
    <row r="9" spans="1:6" x14ac:dyDescent="0.25">
      <c r="A9" s="50" t="s">
        <v>218</v>
      </c>
      <c r="B9" s="38">
        <v>100</v>
      </c>
      <c r="C9" s="38">
        <v>93.035723102961498</v>
      </c>
      <c r="D9" s="38">
        <v>92.512131331995661</v>
      </c>
      <c r="E9" s="38">
        <v>93.559314873927306</v>
      </c>
      <c r="F9" s="38">
        <v>97.471941905303552</v>
      </c>
    </row>
    <row r="10" spans="1:6" x14ac:dyDescent="0.25">
      <c r="A10" s="48" t="s">
        <v>219</v>
      </c>
      <c r="B10" s="49">
        <v>70.831613448245761</v>
      </c>
      <c r="C10" s="49">
        <v>71.330500982427267</v>
      </c>
      <c r="D10" s="49">
        <v>71.637818335497585</v>
      </c>
      <c r="E10" s="49">
        <v>71.02318362935695</v>
      </c>
      <c r="F10" s="49">
        <v>60.720976831481622</v>
      </c>
    </row>
    <row r="11" spans="1:6" ht="13" x14ac:dyDescent="0.25">
      <c r="A11" s="53" t="s">
        <v>220</v>
      </c>
      <c r="B11" s="34"/>
      <c r="C11" s="34"/>
      <c r="D11" s="34"/>
      <c r="E11" s="34"/>
      <c r="F11" s="34"/>
    </row>
    <row r="12" spans="1:6" x14ac:dyDescent="0.25">
      <c r="A12" s="48" t="s">
        <v>221</v>
      </c>
      <c r="B12" s="49">
        <v>100</v>
      </c>
      <c r="C12" s="49">
        <v>101.80598065682986</v>
      </c>
      <c r="D12" s="49">
        <v>101.78161606148787</v>
      </c>
      <c r="E12" s="49">
        <v>101.83034525217185</v>
      </c>
      <c r="F12" s="49">
        <v>112.20688741254847</v>
      </c>
    </row>
    <row r="13" spans="1:6" x14ac:dyDescent="0.25">
      <c r="A13" s="51" t="s">
        <v>222</v>
      </c>
      <c r="B13" s="38">
        <v>100</v>
      </c>
      <c r="C13" s="38">
        <v>98.56335784348839</v>
      </c>
      <c r="D13" s="38">
        <v>98.701085958350717</v>
      </c>
      <c r="E13" s="38">
        <v>98.425629728626063</v>
      </c>
      <c r="F13" s="38">
        <v>109.22101203932908</v>
      </c>
    </row>
    <row r="14" spans="1:6" x14ac:dyDescent="0.25">
      <c r="A14" s="48" t="s">
        <v>223</v>
      </c>
      <c r="B14" s="49">
        <v>100</v>
      </c>
      <c r="C14" s="49">
        <v>98.703827250958582</v>
      </c>
      <c r="D14" s="49">
        <v>98.564855167198473</v>
      </c>
      <c r="E14" s="49">
        <v>98.842799334718691</v>
      </c>
      <c r="F14" s="49">
        <v>104.38782332388742</v>
      </c>
    </row>
    <row r="15" spans="1:6" x14ac:dyDescent="0.25">
      <c r="A15" s="111" t="s">
        <v>224</v>
      </c>
      <c r="B15" s="49">
        <v>100</v>
      </c>
      <c r="C15" s="128">
        <v>99.5</v>
      </c>
      <c r="D15" s="49">
        <v>100.3519445529148</v>
      </c>
      <c r="E15" s="49">
        <v>100.58553445323304</v>
      </c>
      <c r="F15" s="49">
        <v>109.00817937627804</v>
      </c>
    </row>
    <row r="16" spans="1:6" x14ac:dyDescent="0.25">
      <c r="A16" s="48" t="s">
        <v>225</v>
      </c>
      <c r="B16" s="49">
        <v>66.243111205308352</v>
      </c>
      <c r="C16" s="49">
        <v>69.81508893479149</v>
      </c>
      <c r="D16" s="49">
        <v>69.837473091114902</v>
      </c>
      <c r="E16" s="128">
        <v>69.792704778468078</v>
      </c>
      <c r="F16" s="49">
        <v>57.101115832690112</v>
      </c>
    </row>
    <row r="17" spans="1:6" ht="13" x14ac:dyDescent="0.25">
      <c r="A17" s="53" t="s">
        <v>226</v>
      </c>
      <c r="B17" s="34"/>
      <c r="C17" s="34"/>
      <c r="D17" s="34"/>
      <c r="E17" s="34"/>
      <c r="F17" s="34"/>
    </row>
    <row r="18" spans="1:6" x14ac:dyDescent="0.25">
      <c r="A18" s="48" t="s">
        <v>227</v>
      </c>
      <c r="B18" s="49">
        <v>100</v>
      </c>
      <c r="C18" s="49">
        <v>107.8487435526573</v>
      </c>
      <c r="D18" s="49">
        <v>108.16575055249491</v>
      </c>
      <c r="E18" s="49">
        <v>107.53173655281967</v>
      </c>
      <c r="F18" s="49">
        <v>120.75295323246512</v>
      </c>
    </row>
    <row r="19" spans="1:6" x14ac:dyDescent="0.25">
      <c r="A19" s="48" t="s">
        <v>228</v>
      </c>
      <c r="B19" s="49">
        <v>100</v>
      </c>
      <c r="C19" s="49">
        <v>99.387291124107108</v>
      </c>
      <c r="D19" s="49">
        <v>100.03946693880162</v>
      </c>
      <c r="E19" s="49">
        <v>98.735115309412592</v>
      </c>
      <c r="F19" s="49">
        <v>103.69764779980713</v>
      </c>
    </row>
    <row r="20" spans="1:6" x14ac:dyDescent="0.25">
      <c r="A20" s="48" t="s">
        <v>229</v>
      </c>
      <c r="B20" s="49">
        <v>100</v>
      </c>
      <c r="C20" s="49">
        <v>89.845141410495131</v>
      </c>
      <c r="D20" s="49">
        <v>89.993171017308001</v>
      </c>
      <c r="E20" s="49">
        <v>89.697111803682247</v>
      </c>
      <c r="F20" s="49">
        <v>94.492946591407403</v>
      </c>
    </row>
    <row r="21" spans="1:6" x14ac:dyDescent="0.25">
      <c r="A21" s="48" t="s">
        <v>230</v>
      </c>
      <c r="B21" s="49">
        <v>100</v>
      </c>
      <c r="C21" s="49">
        <v>90.42279703828828</v>
      </c>
      <c r="D21" s="49">
        <v>89.972069066216463</v>
      </c>
      <c r="E21" s="49">
        <v>90.873525010360098</v>
      </c>
      <c r="F21" s="49">
        <v>96.281948227324321</v>
      </c>
    </row>
    <row r="22" spans="1:6" x14ac:dyDescent="0.25">
      <c r="A22" s="48" t="s">
        <v>231</v>
      </c>
      <c r="B22" s="49">
        <v>100</v>
      </c>
      <c r="C22" s="49">
        <v>92.573942036127846</v>
      </c>
      <c r="D22" s="49">
        <v>91.515310734960309</v>
      </c>
      <c r="E22" s="49">
        <v>93.632573337295369</v>
      </c>
      <c r="F22" s="49">
        <v>97.603147667812905</v>
      </c>
    </row>
    <row r="23" spans="1:6" ht="13" x14ac:dyDescent="0.25">
      <c r="A23" s="129" t="s">
        <v>232</v>
      </c>
      <c r="B23" s="49"/>
      <c r="C23" s="49"/>
      <c r="D23" s="34"/>
      <c r="E23" s="34"/>
      <c r="F23" s="34"/>
    </row>
    <row r="24" spans="1:6" x14ac:dyDescent="0.25">
      <c r="A24" s="48" t="s">
        <v>233</v>
      </c>
      <c r="B24" s="49">
        <v>100</v>
      </c>
      <c r="C24" s="49">
        <v>90.972329991446671</v>
      </c>
      <c r="D24" s="49">
        <v>92.911788376376904</v>
      </c>
      <c r="E24" s="49">
        <v>89.032871606516437</v>
      </c>
      <c r="F24" s="49">
        <v>100.09512203875592</v>
      </c>
    </row>
    <row r="25" spans="1:6" x14ac:dyDescent="0.25">
      <c r="A25" s="111" t="s">
        <v>234</v>
      </c>
      <c r="B25" s="126">
        <f>65+6.751636853557</f>
        <v>71.751636853557002</v>
      </c>
      <c r="C25" s="126">
        <f>65+8.08410122544201</f>
        <v>73.084101225442012</v>
      </c>
      <c r="D25" s="126">
        <f>65+7.64647513692586</f>
        <v>72.646475136925858</v>
      </c>
      <c r="E25" s="126">
        <f>65+8.52172731395817</f>
        <v>73.521727313958166</v>
      </c>
      <c r="F25" s="126">
        <f>65+8.76939139167004</f>
        <v>73.769391391670041</v>
      </c>
    </row>
    <row r="26" spans="1:6" x14ac:dyDescent="0.25">
      <c r="A26" s="48" t="s">
        <v>235</v>
      </c>
      <c r="B26" s="49">
        <v>100</v>
      </c>
      <c r="C26" s="49">
        <v>107.09616659093028</v>
      </c>
      <c r="D26" s="49">
        <v>105.37935360696665</v>
      </c>
      <c r="E26" s="49">
        <v>108.81297957489393</v>
      </c>
      <c r="F26" s="49">
        <v>121.2526044905151</v>
      </c>
    </row>
    <row r="27" spans="1:6" x14ac:dyDescent="0.25">
      <c r="A27" s="111" t="s">
        <v>236</v>
      </c>
      <c r="B27" s="126">
        <f>65+7.7150581746045</f>
        <v>72.715058174604494</v>
      </c>
      <c r="C27" s="126">
        <f>65+6.3389838529445</f>
        <v>71.338983852944494</v>
      </c>
      <c r="D27" s="126">
        <f>65+5.83469505620754</f>
        <v>70.834695056207536</v>
      </c>
      <c r="E27" s="126">
        <f>65+6.84327264968148</f>
        <v>71.843272649681481</v>
      </c>
      <c r="F27" s="126">
        <f>65+5.01753066126103</f>
        <v>70.017530661261034</v>
      </c>
    </row>
    <row r="28" spans="1:6" x14ac:dyDescent="0.25">
      <c r="A28" s="48" t="s">
        <v>237</v>
      </c>
      <c r="B28" s="49">
        <v>100</v>
      </c>
      <c r="C28" s="49">
        <v>104.94572253001428</v>
      </c>
      <c r="D28" s="49">
        <v>103.77600406799559</v>
      </c>
      <c r="E28" s="49">
        <v>106.11544099203299</v>
      </c>
      <c r="F28" s="49">
        <v>116.34640782368257</v>
      </c>
    </row>
    <row r="29" spans="1:6" x14ac:dyDescent="0.25">
      <c r="A29" s="48" t="s">
        <v>238</v>
      </c>
      <c r="B29" s="49">
        <v>100</v>
      </c>
      <c r="C29" s="49">
        <v>103.68768771560751</v>
      </c>
      <c r="D29" s="49">
        <v>102.56700811243807</v>
      </c>
      <c r="E29" s="49">
        <v>104.80836731877693</v>
      </c>
      <c r="F29" s="49">
        <v>112.76744846202361</v>
      </c>
    </row>
    <row r="30" spans="1:6" ht="13" x14ac:dyDescent="0.25">
      <c r="A30" s="54" t="s">
        <v>239</v>
      </c>
      <c r="B30" s="126"/>
      <c r="C30" s="126"/>
      <c r="D30" s="126"/>
      <c r="E30" s="126"/>
      <c r="F30" s="126"/>
    </row>
    <row r="31" spans="1:6" x14ac:dyDescent="0.25">
      <c r="A31" s="47" t="s">
        <v>240</v>
      </c>
      <c r="B31" s="126">
        <v>7.4658701251157149</v>
      </c>
      <c r="C31" s="126">
        <v>7.1386549740761165</v>
      </c>
      <c r="D31" s="133">
        <v>7.3504066639323851</v>
      </c>
      <c r="E31" s="126">
        <v>6.9269032842198479</v>
      </c>
      <c r="F31" s="126">
        <v>7.6809351722520258</v>
      </c>
    </row>
    <row r="32" spans="1:6" ht="13" x14ac:dyDescent="0.25">
      <c r="A32" s="54" t="s">
        <v>241</v>
      </c>
      <c r="B32" s="126"/>
      <c r="C32" s="126"/>
      <c r="D32" s="126"/>
      <c r="E32" s="126"/>
      <c r="F32" s="126"/>
    </row>
    <row r="33" spans="1:6" x14ac:dyDescent="0.25">
      <c r="A33" s="47" t="s">
        <v>242</v>
      </c>
      <c r="B33" s="60">
        <v>5.8125050399999987</v>
      </c>
      <c r="C33" s="60">
        <v>5.2</v>
      </c>
      <c r="D33" s="126">
        <v>4.4000000000000004</v>
      </c>
      <c r="E33" s="126">
        <v>6</v>
      </c>
      <c r="F33" s="126">
        <v>7.8</v>
      </c>
    </row>
    <row r="34" spans="1:6" x14ac:dyDescent="0.25">
      <c r="A34" s="47" t="s">
        <v>243</v>
      </c>
      <c r="B34" s="60">
        <v>5.3193624319999993</v>
      </c>
      <c r="C34" s="60">
        <v>6.25</v>
      </c>
      <c r="D34" s="126">
        <v>7</v>
      </c>
      <c r="E34" s="133">
        <v>5.5</v>
      </c>
      <c r="F34" s="133">
        <v>6.9</v>
      </c>
    </row>
    <row r="35" spans="1:6" x14ac:dyDescent="0.25">
      <c r="A35" s="47" t="s">
        <v>244</v>
      </c>
      <c r="B35" s="60">
        <v>6.6860034999999991</v>
      </c>
      <c r="C35" s="60">
        <v>5.25</v>
      </c>
      <c r="D35" s="126">
        <v>3.6</v>
      </c>
      <c r="E35" s="126" t="s">
        <v>265</v>
      </c>
      <c r="F35" s="126" t="s">
        <v>266</v>
      </c>
    </row>
    <row r="36" spans="1:6" ht="13" x14ac:dyDescent="0.25">
      <c r="A36" s="54" t="s">
        <v>245</v>
      </c>
      <c r="B36" s="126"/>
      <c r="C36" s="126"/>
      <c r="D36" s="126"/>
      <c r="E36" s="126"/>
      <c r="F36" s="126"/>
    </row>
    <row r="37" spans="1:6" x14ac:dyDescent="0.25">
      <c r="A37" s="47" t="s">
        <v>246</v>
      </c>
      <c r="B37" s="134" t="s">
        <v>18</v>
      </c>
      <c r="C37" s="134" t="s">
        <v>18</v>
      </c>
      <c r="D37" s="34">
        <v>2000</v>
      </c>
      <c r="E37" s="34">
        <v>2019</v>
      </c>
      <c r="F37" s="134">
        <v>2022</v>
      </c>
    </row>
    <row r="38" spans="1:6" x14ac:dyDescent="0.25">
      <c r="A38" s="47" t="s">
        <v>247</v>
      </c>
      <c r="B38" s="134" t="s">
        <v>18</v>
      </c>
      <c r="C38" s="134" t="s">
        <v>18</v>
      </c>
      <c r="D38" s="141" t="s">
        <v>151</v>
      </c>
      <c r="E38" s="142" t="s">
        <v>165</v>
      </c>
      <c r="F38" s="141" t="s">
        <v>249</v>
      </c>
    </row>
    <row r="39" spans="1:6" x14ac:dyDescent="0.25">
      <c r="A39" s="47" t="s">
        <v>248</v>
      </c>
      <c r="B39" s="134" t="s">
        <v>18</v>
      </c>
      <c r="C39" s="134" t="s">
        <v>18</v>
      </c>
      <c r="D39" s="141" t="s">
        <v>267</v>
      </c>
      <c r="E39" s="142" t="s">
        <v>162</v>
      </c>
      <c r="F39" s="141" t="s">
        <v>249</v>
      </c>
    </row>
    <row r="40" spans="1:6" ht="13" x14ac:dyDescent="0.25">
      <c r="A40" s="53" t="s">
        <v>250</v>
      </c>
      <c r="B40" s="134" t="s">
        <v>18</v>
      </c>
      <c r="C40" s="134" t="s">
        <v>18</v>
      </c>
      <c r="D40" s="34"/>
      <c r="E40" s="134"/>
      <c r="F40" s="34"/>
    </row>
    <row r="41" spans="1:6" x14ac:dyDescent="0.25">
      <c r="A41" s="47" t="s">
        <v>251</v>
      </c>
      <c r="B41" s="134" t="s">
        <v>18</v>
      </c>
      <c r="C41" s="134" t="s">
        <v>18</v>
      </c>
      <c r="D41" s="34">
        <v>20</v>
      </c>
      <c r="E41" s="134">
        <v>14</v>
      </c>
      <c r="F41" s="34">
        <v>13</v>
      </c>
    </row>
    <row r="42" spans="1:6" x14ac:dyDescent="0.25">
      <c r="A42" s="47" t="s">
        <v>252</v>
      </c>
      <c r="B42" s="134" t="s">
        <v>18</v>
      </c>
      <c r="C42" s="134" t="s">
        <v>18</v>
      </c>
      <c r="D42" s="34">
        <v>19</v>
      </c>
      <c r="E42" s="34">
        <v>13</v>
      </c>
      <c r="F42" s="34">
        <v>12</v>
      </c>
    </row>
    <row r="43" spans="1:6" x14ac:dyDescent="0.25">
      <c r="A43" s="47" t="s">
        <v>253</v>
      </c>
      <c r="B43" s="134" t="s">
        <v>18</v>
      </c>
      <c r="C43" s="134" t="s">
        <v>18</v>
      </c>
      <c r="D43" s="34">
        <v>16</v>
      </c>
      <c r="E43" s="34">
        <v>10</v>
      </c>
      <c r="F43" s="34">
        <v>9</v>
      </c>
    </row>
    <row r="44" spans="1:6" x14ac:dyDescent="0.25">
      <c r="A44" s="93" t="s">
        <v>254</v>
      </c>
      <c r="B44" s="188"/>
      <c r="C44" s="188"/>
      <c r="D44" s="188"/>
      <c r="E44" s="188"/>
      <c r="F44" s="188"/>
    </row>
    <row r="45" spans="1:6" x14ac:dyDescent="0.25">
      <c r="A45" s="94" t="s">
        <v>255</v>
      </c>
      <c r="B45" s="188"/>
      <c r="C45" s="188"/>
      <c r="D45" s="188"/>
      <c r="E45" s="188"/>
      <c r="F45" s="188"/>
    </row>
    <row r="46" spans="1:6" x14ac:dyDescent="0.25">
      <c r="A46" s="94" t="s">
        <v>256</v>
      </c>
      <c r="B46" s="188"/>
      <c r="C46" s="188"/>
      <c r="D46" s="188"/>
      <c r="E46" s="188"/>
      <c r="F46" s="188"/>
    </row>
    <row r="47" spans="1:6" x14ac:dyDescent="0.25">
      <c r="A47" s="94" t="s">
        <v>257</v>
      </c>
      <c r="B47" s="188"/>
      <c r="C47" s="188"/>
      <c r="D47" s="188"/>
      <c r="E47" s="188"/>
      <c r="F47" s="188"/>
    </row>
    <row r="48" spans="1:6" x14ac:dyDescent="0.25">
      <c r="A48" s="93" t="s">
        <v>258</v>
      </c>
      <c r="B48" s="188"/>
      <c r="C48" s="188"/>
      <c r="D48" s="188"/>
      <c r="E48" s="188"/>
      <c r="F48" s="188"/>
    </row>
    <row r="49" spans="1:6" x14ac:dyDescent="0.25">
      <c r="A49" s="115" t="s">
        <v>259</v>
      </c>
      <c r="B49" s="188"/>
      <c r="C49" s="188"/>
      <c r="D49" s="188"/>
      <c r="E49" s="188"/>
      <c r="F49" s="188"/>
    </row>
    <row r="50" spans="1:6" x14ac:dyDescent="0.25">
      <c r="A50" s="93" t="s">
        <v>260</v>
      </c>
      <c r="B50" s="188"/>
      <c r="C50" s="188"/>
      <c r="D50" s="188"/>
      <c r="E50" s="188"/>
      <c r="F50" s="188"/>
    </row>
  </sheetData>
  <sheetProtection algorithmName="SHA-512" hashValue="kazWenQAfQVXMk70R16cY+PS23g7js6YkNy9ACcpkgq/OZVuGQB3gtjZiIrddX86S+7pfE7Gs0p3B5gIncEdog==" saltValue="f5MGg2xNp8k3ur1VhLzM7Q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W49"/>
  <sheetViews>
    <sheetView topLeftCell="H1" zoomScaleNormal="100" workbookViewId="0">
      <selection activeCell="P23" sqref="P23"/>
    </sheetView>
  </sheetViews>
  <sheetFormatPr defaultColWidth="9.26953125" defaultRowHeight="12.5" x14ac:dyDescent="0.25"/>
  <cols>
    <col min="1" max="1" width="144.1796875" bestFit="1" customWidth="1"/>
    <col min="2" max="2" width="23.81640625" style="118" bestFit="1" customWidth="1"/>
    <col min="3" max="3" width="31.1796875" style="118" bestFit="1" customWidth="1"/>
    <col min="4" max="4" width="12.7265625" style="118" customWidth="1"/>
    <col min="5" max="5" width="11" style="118" customWidth="1"/>
    <col min="6" max="6" width="9.1796875" style="118" bestFit="1" customWidth="1"/>
    <col min="7" max="7" width="14.81640625" style="118" customWidth="1"/>
    <col min="8" max="8" width="9.1796875" style="118" bestFit="1" customWidth="1"/>
    <col min="9" max="9" width="11.1796875" style="118" bestFit="1" customWidth="1"/>
    <col min="10" max="10" width="11.81640625" style="118" bestFit="1" customWidth="1"/>
    <col min="11" max="12" width="13.453125" style="118" bestFit="1" customWidth="1"/>
    <col min="13" max="13" width="11.54296875" style="118" bestFit="1" customWidth="1"/>
    <col min="14" max="14" width="10.54296875" style="118" bestFit="1" customWidth="1"/>
    <col min="15" max="15" width="8.81640625" style="118" bestFit="1" customWidth="1"/>
    <col min="16" max="16" width="10" style="118" bestFit="1" customWidth="1"/>
    <col min="17" max="17" width="13.1796875" style="118" bestFit="1" customWidth="1"/>
    <col min="18" max="18" width="13.54296875" style="118" bestFit="1" customWidth="1"/>
    <col min="19" max="19" width="13.81640625" style="118" bestFit="1" customWidth="1"/>
    <col min="20" max="20" width="4.7265625" customWidth="1"/>
  </cols>
  <sheetData>
    <row r="1" spans="1:23" ht="14" x14ac:dyDescent="0.3">
      <c r="A1" s="9" t="s">
        <v>268</v>
      </c>
      <c r="B1" s="109"/>
      <c r="C1" s="109"/>
      <c r="D1" s="2"/>
      <c r="E1" s="3"/>
      <c r="F1" s="2"/>
      <c r="G1" s="3"/>
      <c r="H1" s="3"/>
      <c r="I1" s="3"/>
      <c r="J1" s="3"/>
      <c r="K1" s="2"/>
      <c r="L1" s="2"/>
      <c r="M1" s="3"/>
      <c r="N1" s="2"/>
      <c r="O1" s="3"/>
      <c r="P1" s="2"/>
      <c r="Q1" s="2"/>
      <c r="R1" s="2"/>
      <c r="S1" s="2"/>
    </row>
    <row r="2" spans="1:23" ht="14" x14ac:dyDescent="0.3">
      <c r="A2" s="100"/>
      <c r="B2" s="109"/>
      <c r="C2" s="109"/>
      <c r="D2" s="2"/>
      <c r="E2" s="3"/>
      <c r="F2" s="2"/>
      <c r="G2" s="3"/>
      <c r="H2" s="3"/>
      <c r="I2" s="3"/>
      <c r="J2" s="3"/>
      <c r="K2" s="2"/>
      <c r="L2" s="2"/>
      <c r="M2" s="3"/>
      <c r="N2" s="2"/>
      <c r="O2" s="3"/>
      <c r="P2" s="2"/>
      <c r="Q2" s="2"/>
      <c r="R2" s="2"/>
      <c r="S2" s="2"/>
      <c r="T2" s="2"/>
    </row>
    <row r="3" spans="1:23" ht="14" x14ac:dyDescent="0.25">
      <c r="A3" s="88" t="s">
        <v>268</v>
      </c>
      <c r="B3" s="88" t="s">
        <v>208</v>
      </c>
      <c r="C3" s="88" t="s">
        <v>269</v>
      </c>
      <c r="D3" s="88" t="s">
        <v>270</v>
      </c>
      <c r="E3" s="88" t="s">
        <v>271</v>
      </c>
      <c r="F3" s="88" t="s">
        <v>272</v>
      </c>
      <c r="G3" s="88" t="s">
        <v>273</v>
      </c>
      <c r="H3" s="88" t="s">
        <v>274</v>
      </c>
      <c r="I3" s="88" t="s">
        <v>275</v>
      </c>
      <c r="J3" s="88" t="s">
        <v>276</v>
      </c>
      <c r="K3" s="88" t="s">
        <v>277</v>
      </c>
      <c r="L3" s="88" t="s">
        <v>278</v>
      </c>
      <c r="M3" s="88" t="s">
        <v>279</v>
      </c>
      <c r="N3" s="88" t="s">
        <v>280</v>
      </c>
      <c r="O3" s="88" t="s">
        <v>281</v>
      </c>
      <c r="P3" s="88" t="s">
        <v>282</v>
      </c>
      <c r="Q3" s="88" t="s">
        <v>283</v>
      </c>
      <c r="R3" s="88" t="s">
        <v>284</v>
      </c>
      <c r="S3" s="88" t="s">
        <v>285</v>
      </c>
    </row>
    <row r="4" spans="1:23" ht="13" x14ac:dyDescent="0.25">
      <c r="A4" s="69" t="s">
        <v>213</v>
      </c>
      <c r="B4" s="39" t="s">
        <v>18</v>
      </c>
      <c r="C4" s="39" t="s">
        <v>18</v>
      </c>
      <c r="D4" s="32" t="s">
        <v>12</v>
      </c>
      <c r="E4" s="32" t="s">
        <v>6</v>
      </c>
      <c r="F4" s="32" t="s">
        <v>12</v>
      </c>
      <c r="G4" s="32" t="s">
        <v>6</v>
      </c>
      <c r="H4" s="32" t="s">
        <v>6</v>
      </c>
      <c r="I4" s="32" t="s">
        <v>12</v>
      </c>
      <c r="J4" s="32" t="s">
        <v>6</v>
      </c>
      <c r="K4" s="32" t="s">
        <v>12</v>
      </c>
      <c r="L4" s="32" t="s">
        <v>6</v>
      </c>
      <c r="M4" s="32" t="s">
        <v>6</v>
      </c>
      <c r="N4" s="32" t="s">
        <v>6</v>
      </c>
      <c r="O4" s="61" t="s">
        <v>12</v>
      </c>
      <c r="P4" s="32" t="s">
        <v>15</v>
      </c>
      <c r="Q4" s="32" t="s">
        <v>6</v>
      </c>
      <c r="R4" s="32" t="s">
        <v>12</v>
      </c>
      <c r="S4" s="32" t="s">
        <v>12</v>
      </c>
    </row>
    <row r="5" spans="1:23" ht="13" x14ac:dyDescent="0.3">
      <c r="A5" s="52" t="s">
        <v>214</v>
      </c>
      <c r="B5" s="46" t="s">
        <v>18</v>
      </c>
      <c r="C5" s="46" t="s">
        <v>18</v>
      </c>
      <c r="D5" s="33">
        <v>138.28300000000002</v>
      </c>
      <c r="E5" s="33">
        <v>141.58699999999999</v>
      </c>
      <c r="F5" s="33">
        <v>142.24299999999999</v>
      </c>
      <c r="G5" s="33">
        <v>142.54599999999999</v>
      </c>
      <c r="H5" s="33">
        <v>142.74799999999999</v>
      </c>
      <c r="I5" s="33">
        <v>143.40300000000002</v>
      </c>
      <c r="J5" s="33">
        <v>145.05099999999999</v>
      </c>
      <c r="K5" s="33">
        <v>145.38499999999999</v>
      </c>
      <c r="L5" s="33">
        <v>146.68099999999998</v>
      </c>
      <c r="M5" s="33">
        <v>147.09699999999998</v>
      </c>
      <c r="N5" s="33">
        <v>147.29599999999999</v>
      </c>
      <c r="O5" s="33">
        <v>147.375</v>
      </c>
      <c r="P5" s="33">
        <v>148.16431712962964</v>
      </c>
      <c r="Q5" s="33">
        <v>148.61599999999999</v>
      </c>
      <c r="R5" s="33">
        <v>148.661</v>
      </c>
      <c r="S5" s="33">
        <v>149.01600000000002</v>
      </c>
    </row>
    <row r="6" spans="1:23" s="7" customFormat="1" ht="13" x14ac:dyDescent="0.25">
      <c r="A6" s="53" t="s">
        <v>215</v>
      </c>
      <c r="B6" s="34"/>
      <c r="C6" s="34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U6"/>
    </row>
    <row r="7" spans="1:23" s="7" customFormat="1" x14ac:dyDescent="0.25">
      <c r="A7" s="48" t="s">
        <v>216</v>
      </c>
      <c r="B7" s="49">
        <v>100</v>
      </c>
      <c r="C7" s="49">
        <v>102.24805684077835</v>
      </c>
      <c r="D7" s="49">
        <v>102.34552436262986</v>
      </c>
      <c r="E7" s="49">
        <v>106.04093934662465</v>
      </c>
      <c r="F7" s="49">
        <v>102.70410526739769</v>
      </c>
      <c r="G7" s="49">
        <v>101.54735816825131</v>
      </c>
      <c r="H7" s="49">
        <v>99.683021771218108</v>
      </c>
      <c r="I7" s="49">
        <v>104.42534529389106</v>
      </c>
      <c r="J7" s="49">
        <v>103.43955545484117</v>
      </c>
      <c r="K7" s="49">
        <v>103.85140010436611</v>
      </c>
      <c r="L7" s="49">
        <v>102.58065477186915</v>
      </c>
      <c r="M7" s="49">
        <v>99.062208268481598</v>
      </c>
      <c r="N7" s="49">
        <v>101.4520042795174</v>
      </c>
      <c r="O7" s="49">
        <v>100.97962983858626</v>
      </c>
      <c r="P7" s="49">
        <v>104.65327970691445</v>
      </c>
      <c r="Q7" s="49">
        <v>104.17871266542325</v>
      </c>
      <c r="R7" s="49">
        <v>103.72553146113101</v>
      </c>
      <c r="S7" s="49">
        <v>108.67687516001656</v>
      </c>
      <c r="U7"/>
    </row>
    <row r="8" spans="1:23" s="7" customFormat="1" x14ac:dyDescent="0.25">
      <c r="A8" s="111" t="s">
        <v>217</v>
      </c>
      <c r="B8" s="126">
        <f>65+11.8875479735432</f>
        <v>76.887547973543207</v>
      </c>
      <c r="C8" s="126">
        <f>65+12.0295205247817</f>
        <v>77.029520524781702</v>
      </c>
      <c r="D8" s="126">
        <f>65+11.8710668694726</f>
        <v>76.8710668694726</v>
      </c>
      <c r="E8" s="126">
        <f>65+11.9894729833933</f>
        <v>76.989472983393298</v>
      </c>
      <c r="F8" s="126">
        <f>65+11.2556323842103</f>
        <v>76.255632384210301</v>
      </c>
      <c r="G8" s="126">
        <f>65+11.7998663131516</f>
        <v>76.799866313151597</v>
      </c>
      <c r="H8" s="126">
        <f>65+10.6835862103559</f>
        <v>75.683586210355898</v>
      </c>
      <c r="I8" s="126">
        <f>65+11.7662916556169</f>
        <v>76.766291655616897</v>
      </c>
      <c r="J8" s="126">
        <f>65+12.4601703523261</f>
        <v>77.460170352326102</v>
      </c>
      <c r="K8" s="126">
        <f>65+10.845192026386</f>
        <v>75.845192026386002</v>
      </c>
      <c r="L8" s="126">
        <f>65+12.3754527266721</f>
        <v>77.375452726672094</v>
      </c>
      <c r="M8" s="126">
        <f>65+12.5037144925214</f>
        <v>77.503714492521397</v>
      </c>
      <c r="N8" s="126">
        <f>65+11.7796457978591</f>
        <v>76.779645797859104</v>
      </c>
      <c r="O8" s="126">
        <f>65+11.349999979224</f>
        <v>76.349999979223995</v>
      </c>
      <c r="P8" s="126">
        <f>65+10.5358504616168</f>
        <v>75.535850461616803</v>
      </c>
      <c r="Q8" s="126">
        <f>65+12.6442553219737</f>
        <v>77.644255321973702</v>
      </c>
      <c r="R8" s="126">
        <f>65+11.8292317469943</f>
        <v>76.829231746994296</v>
      </c>
      <c r="S8" s="126">
        <f>65+14.7475650803276</f>
        <v>79.747565080327604</v>
      </c>
      <c r="U8"/>
    </row>
    <row r="9" spans="1:23" s="7" customFormat="1" x14ac:dyDescent="0.25">
      <c r="A9" s="50" t="s">
        <v>218</v>
      </c>
      <c r="B9" s="38">
        <v>100</v>
      </c>
      <c r="C9" s="49">
        <v>102.45852160390845</v>
      </c>
      <c r="D9" s="38">
        <v>102.26685148940358</v>
      </c>
      <c r="E9" s="38">
        <v>106.24906475237518</v>
      </c>
      <c r="F9" s="38">
        <v>101.75577881954159</v>
      </c>
      <c r="G9" s="38">
        <v>101.5909606130361</v>
      </c>
      <c r="H9" s="38">
        <v>98.289753205963493</v>
      </c>
      <c r="I9" s="38">
        <v>104.20738778605262</v>
      </c>
      <c r="J9" s="38">
        <v>104.19673235967078</v>
      </c>
      <c r="K9" s="38">
        <v>102.44062027822264</v>
      </c>
      <c r="L9" s="38">
        <v>103.15371886872946</v>
      </c>
      <c r="M9" s="38">
        <v>99.952654816688494</v>
      </c>
      <c r="N9" s="38">
        <v>101.35677177596199</v>
      </c>
      <c r="O9" s="38">
        <v>100.13100190712169</v>
      </c>
      <c r="P9" s="38">
        <v>102.55944483334642</v>
      </c>
      <c r="Q9" s="38">
        <v>104.8785164388421</v>
      </c>
      <c r="R9" s="38">
        <v>103.41960616289052</v>
      </c>
      <c r="S9" s="38">
        <v>111.77046940103834</v>
      </c>
      <c r="U9"/>
      <c r="W9" s="144"/>
    </row>
    <row r="10" spans="1:23" s="7" customFormat="1" x14ac:dyDescent="0.25">
      <c r="A10" s="48" t="s">
        <v>219</v>
      </c>
      <c r="B10" s="49">
        <v>70.831613448245761</v>
      </c>
      <c r="C10" s="49">
        <v>71.54506455242803</v>
      </c>
      <c r="D10" s="49">
        <v>68.313140115738946</v>
      </c>
      <c r="E10" s="49">
        <v>66.677502155705369</v>
      </c>
      <c r="F10" s="49">
        <v>73.125270861796039</v>
      </c>
      <c r="G10" s="49">
        <v>69.92899920867896</v>
      </c>
      <c r="H10" s="49">
        <v>68.836454991657476</v>
      </c>
      <c r="I10" s="49">
        <v>69.076213429870535</v>
      </c>
      <c r="J10" s="49">
        <v>77.669077536348397</v>
      </c>
      <c r="K10" s="49">
        <v>67.365722073948731</v>
      </c>
      <c r="L10" s="49">
        <v>69.957751078777449</v>
      </c>
      <c r="M10" s="49">
        <v>74.788143577398174</v>
      </c>
      <c r="N10" s="49">
        <v>69.541044125860438</v>
      </c>
      <c r="O10" s="49">
        <v>71.506392912279253</v>
      </c>
      <c r="P10" s="49">
        <v>69.64115870681448</v>
      </c>
      <c r="Q10" s="49">
        <v>74.961543744997954</v>
      </c>
      <c r="R10" s="49">
        <v>72.176116209842945</v>
      </c>
      <c r="S10" s="49">
        <v>72.516449543176279</v>
      </c>
      <c r="U10"/>
    </row>
    <row r="11" spans="1:23" s="7" customFormat="1" ht="13" x14ac:dyDescent="0.25">
      <c r="A11" s="53" t="s">
        <v>220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U11"/>
    </row>
    <row r="12" spans="1:23" s="7" customFormat="1" x14ac:dyDescent="0.25">
      <c r="A12" s="48" t="s">
        <v>221</v>
      </c>
      <c r="B12" s="49">
        <v>100</v>
      </c>
      <c r="C12" s="49">
        <v>98.560319633118297</v>
      </c>
      <c r="D12" s="49">
        <v>99.297714450170389</v>
      </c>
      <c r="E12" s="49">
        <v>100.76058540417701</v>
      </c>
      <c r="F12" s="49">
        <v>99.637099776227771</v>
      </c>
      <c r="G12" s="49">
        <v>99.261165838417455</v>
      </c>
      <c r="H12" s="49">
        <v>99.331493996318372</v>
      </c>
      <c r="I12" s="49">
        <v>96.521549722037847</v>
      </c>
      <c r="J12" s="49">
        <v>99.349377888583859</v>
      </c>
      <c r="K12" s="49">
        <v>99.631138960523487</v>
      </c>
      <c r="L12" s="49">
        <v>97.584170078414843</v>
      </c>
      <c r="M12" s="49">
        <v>97.403947411022372</v>
      </c>
      <c r="N12" s="49">
        <v>95.897808707579827</v>
      </c>
      <c r="O12" s="49">
        <v>96.882979586344334</v>
      </c>
      <c r="P12" s="49">
        <v>98.387303215067362</v>
      </c>
      <c r="Q12" s="49">
        <v>98.894007740432627</v>
      </c>
      <c r="R12" s="49">
        <v>97.199108810455542</v>
      </c>
      <c r="S12" s="49">
        <v>99.859288008148411</v>
      </c>
      <c r="U12"/>
    </row>
    <row r="13" spans="1:23" s="7" customFormat="1" x14ac:dyDescent="0.25">
      <c r="A13" s="51" t="s">
        <v>222</v>
      </c>
      <c r="B13" s="38">
        <v>100</v>
      </c>
      <c r="C13" s="38">
        <v>98.031159763909599</v>
      </c>
      <c r="D13" s="38">
        <v>98.835919055403679</v>
      </c>
      <c r="E13" s="38">
        <v>98.75564129230743</v>
      </c>
      <c r="F13" s="38">
        <v>98.313908913243893</v>
      </c>
      <c r="G13" s="38">
        <v>98.726275501759304</v>
      </c>
      <c r="H13" s="38">
        <v>96.928723984265929</v>
      </c>
      <c r="I13" s="38">
        <v>93.841699779229117</v>
      </c>
      <c r="J13" s="38">
        <v>99.967226601583533</v>
      </c>
      <c r="K13" s="38">
        <v>100.11193669378066</v>
      </c>
      <c r="L13" s="38">
        <v>96.92983332300895</v>
      </c>
      <c r="M13" s="38">
        <v>97.959196414097576</v>
      </c>
      <c r="N13" s="38">
        <v>96.055703584564668</v>
      </c>
      <c r="O13" s="38">
        <v>97.6396958404938</v>
      </c>
      <c r="P13" s="38">
        <v>99.455263088521022</v>
      </c>
      <c r="Q13" s="38">
        <v>98.926677409689447</v>
      </c>
      <c r="R13" s="38">
        <v>96.560346351531976</v>
      </c>
      <c r="S13" s="38">
        <v>99.657918885003298</v>
      </c>
      <c r="U13"/>
    </row>
    <row r="14" spans="1:23" s="7" customFormat="1" x14ac:dyDescent="0.25">
      <c r="A14" s="48" t="s">
        <v>223</v>
      </c>
      <c r="B14" s="49">
        <v>100</v>
      </c>
      <c r="C14" s="49">
        <v>101.55507279821249</v>
      </c>
      <c r="D14" s="49">
        <v>108.64870298506939</v>
      </c>
      <c r="E14" s="49">
        <v>104.59384839960717</v>
      </c>
      <c r="F14" s="49">
        <v>102.96696832133937</v>
      </c>
      <c r="G14" s="49">
        <v>100.42256275990027</v>
      </c>
      <c r="H14" s="49">
        <v>102.97082617395824</v>
      </c>
      <c r="I14" s="49">
        <v>103.17012066829982</v>
      </c>
      <c r="J14" s="49">
        <v>101.84175982914826</v>
      </c>
      <c r="K14" s="49">
        <v>104.44084205405971</v>
      </c>
      <c r="L14" s="49">
        <v>99.554313370484721</v>
      </c>
      <c r="M14" s="49">
        <v>99.759233504551801</v>
      </c>
      <c r="N14" s="49">
        <v>101.98800179498362</v>
      </c>
      <c r="O14" s="49">
        <v>98.351666978222639</v>
      </c>
      <c r="P14" s="49">
        <v>100.59109407589949</v>
      </c>
      <c r="Q14" s="49">
        <v>101.31003655306591</v>
      </c>
      <c r="R14" s="49">
        <v>101.53835855774221</v>
      </c>
      <c r="S14" s="49">
        <v>105.46549120965157</v>
      </c>
    </row>
    <row r="15" spans="1:23" s="7" customFormat="1" x14ac:dyDescent="0.25">
      <c r="A15" s="111" t="s">
        <v>224</v>
      </c>
      <c r="B15" s="49">
        <v>100</v>
      </c>
      <c r="C15" s="128">
        <v>99.929841991298076</v>
      </c>
      <c r="D15" s="49">
        <v>103.9732087176199</v>
      </c>
      <c r="E15" s="49">
        <v>102.46425784659041</v>
      </c>
      <c r="F15" s="49">
        <v>101.30203404878357</v>
      </c>
      <c r="G15" s="49">
        <v>99.793472760763748</v>
      </c>
      <c r="H15" s="49">
        <v>100.99952124440331</v>
      </c>
      <c r="I15" s="49">
        <v>98.737740037458508</v>
      </c>
      <c r="J15" s="49">
        <v>100.49171961134255</v>
      </c>
      <c r="K15" s="49">
        <v>102.03599050729159</v>
      </c>
      <c r="L15" s="49">
        <v>98.472666072877729</v>
      </c>
      <c r="M15" s="49">
        <v>98.483453537223355</v>
      </c>
      <c r="N15" s="49">
        <v>98.689147205973242</v>
      </c>
      <c r="O15" s="49">
        <v>97.48380624665819</v>
      </c>
      <c r="P15" s="49">
        <v>99.489198645483427</v>
      </c>
      <c r="Q15" s="49">
        <v>100.04449765121039</v>
      </c>
      <c r="R15" s="49">
        <v>98.934808709370216</v>
      </c>
      <c r="S15" s="49">
        <v>102.10176928874968</v>
      </c>
    </row>
    <row r="16" spans="1:23" s="7" customFormat="1" x14ac:dyDescent="0.25">
      <c r="A16" s="48" t="s">
        <v>225</v>
      </c>
      <c r="B16" s="49">
        <v>66.243111205308352</v>
      </c>
      <c r="C16" s="49">
        <v>66.607530424086377</v>
      </c>
      <c r="D16" s="49">
        <v>64.489116943535024</v>
      </c>
      <c r="E16" s="128">
        <v>62.770676651100459</v>
      </c>
      <c r="F16" s="49">
        <v>68.299898619558235</v>
      </c>
      <c r="G16" s="128">
        <v>68.13099106251083</v>
      </c>
      <c r="H16" s="128">
        <v>62.289073543333672</v>
      </c>
      <c r="I16" s="128">
        <v>66.285267569785191</v>
      </c>
      <c r="J16" s="128">
        <v>68.308567748310722</v>
      </c>
      <c r="K16" s="49">
        <v>62.541621557624339</v>
      </c>
      <c r="L16" s="128">
        <v>65.916400760048134</v>
      </c>
      <c r="M16" s="128">
        <v>71.540828806086225</v>
      </c>
      <c r="N16" s="49">
        <v>64.744036920712134</v>
      </c>
      <c r="O16" s="128">
        <v>67.120104864283405</v>
      </c>
      <c r="P16" s="128">
        <v>64.023411594419699</v>
      </c>
      <c r="Q16" s="128">
        <v>69.159667900588943</v>
      </c>
      <c r="R16" s="49">
        <v>66.24138192043435</v>
      </c>
      <c r="S16" s="49">
        <v>68.296881920434345</v>
      </c>
    </row>
    <row r="17" spans="1:19" s="7" customFormat="1" ht="13" x14ac:dyDescent="0.25">
      <c r="A17" s="53" t="s">
        <v>226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</row>
    <row r="18" spans="1:19" s="7" customFormat="1" x14ac:dyDescent="0.25">
      <c r="A18" s="48" t="s">
        <v>227</v>
      </c>
      <c r="B18" s="49">
        <v>100</v>
      </c>
      <c r="C18" s="49">
        <v>104.92999675503283</v>
      </c>
      <c r="D18" s="49">
        <v>121.37097713167363</v>
      </c>
      <c r="E18" s="49">
        <v>109.43045871189396</v>
      </c>
      <c r="F18" s="49">
        <v>107.48702364197335</v>
      </c>
      <c r="G18" s="49">
        <v>104.33935050851322</v>
      </c>
      <c r="H18" s="49">
        <v>111.4551134096718</v>
      </c>
      <c r="I18" s="49">
        <v>99.333759660891644</v>
      </c>
      <c r="J18" s="49">
        <v>104.3967713029413</v>
      </c>
      <c r="K18" s="49">
        <v>114.88277461528344</v>
      </c>
      <c r="L18" s="49">
        <v>98.64280820515863</v>
      </c>
      <c r="M18" s="49">
        <v>99.942210481528335</v>
      </c>
      <c r="N18" s="49">
        <v>105.9288796494547</v>
      </c>
      <c r="O18" s="49">
        <v>91.874924316590452</v>
      </c>
      <c r="P18" s="49">
        <v>105.51125423648715</v>
      </c>
      <c r="Q18" s="49">
        <v>105.30438177110088</v>
      </c>
      <c r="R18" s="49">
        <v>97.389258569382164</v>
      </c>
      <c r="S18" s="49">
        <v>109.442733152749</v>
      </c>
    </row>
    <row r="19" spans="1:19" s="7" customFormat="1" x14ac:dyDescent="0.25">
      <c r="A19" s="48" t="s">
        <v>228</v>
      </c>
      <c r="B19" s="49">
        <v>100</v>
      </c>
      <c r="C19" s="49">
        <v>104.15601180023842</v>
      </c>
      <c r="D19" s="49">
        <v>110.83930435836906</v>
      </c>
      <c r="E19" s="49">
        <v>108.64047646678894</v>
      </c>
      <c r="F19" s="49">
        <v>111.10641367020848</v>
      </c>
      <c r="G19" s="49">
        <v>104.31778777477152</v>
      </c>
      <c r="H19" s="49">
        <v>106.33568281133765</v>
      </c>
      <c r="I19" s="49">
        <v>102.58493021813706</v>
      </c>
      <c r="J19" s="49">
        <v>106.51384989706926</v>
      </c>
      <c r="K19" s="49">
        <v>107.21849041952592</v>
      </c>
      <c r="L19" s="49">
        <v>100.56045007732452</v>
      </c>
      <c r="M19" s="49">
        <v>99.327874630081524</v>
      </c>
      <c r="N19" s="49">
        <v>104.79463559053926</v>
      </c>
      <c r="O19" s="49">
        <v>94.833520511836383</v>
      </c>
      <c r="P19" s="49">
        <v>104.71610212956382</v>
      </c>
      <c r="Q19" s="49">
        <v>102.75733715399474</v>
      </c>
      <c r="R19" s="49">
        <v>97.811864383640099</v>
      </c>
      <c r="S19" s="49">
        <v>108.25768252547572</v>
      </c>
    </row>
    <row r="20" spans="1:19" s="7" customFormat="1" x14ac:dyDescent="0.25">
      <c r="A20" s="48" t="s">
        <v>229</v>
      </c>
      <c r="B20" s="49">
        <v>100</v>
      </c>
      <c r="C20" s="49">
        <v>99.072339605313815</v>
      </c>
      <c r="D20" s="49">
        <v>93.446677154543906</v>
      </c>
      <c r="E20" s="49">
        <v>101.99601455254123</v>
      </c>
      <c r="F20" s="49">
        <v>97.485762837286885</v>
      </c>
      <c r="G20" s="49">
        <v>96.454805166096421</v>
      </c>
      <c r="H20" s="49">
        <v>93.94116726823458</v>
      </c>
      <c r="I20" s="49">
        <v>101.14371912673003</v>
      </c>
      <c r="J20" s="49">
        <v>100.66454543419991</v>
      </c>
      <c r="K20" s="49">
        <v>98.445808941994741</v>
      </c>
      <c r="L20" s="49">
        <v>100.32098796986885</v>
      </c>
      <c r="M20" s="49">
        <v>98.850286104390605</v>
      </c>
      <c r="N20" s="49">
        <v>99.301344038939391</v>
      </c>
      <c r="O20" s="49">
        <v>103.8702204536138</v>
      </c>
      <c r="P20" s="49">
        <v>103.80344493760678</v>
      </c>
      <c r="Q20" s="49">
        <v>101.04956630823952</v>
      </c>
      <c r="R20" s="49">
        <v>103.74876491900902</v>
      </c>
      <c r="S20" s="49">
        <v>109.68973828109112</v>
      </c>
    </row>
    <row r="21" spans="1:19" s="7" customFormat="1" x14ac:dyDescent="0.25">
      <c r="A21" s="48" t="s">
        <v>230</v>
      </c>
      <c r="B21" s="49">
        <v>100</v>
      </c>
      <c r="C21" s="49">
        <v>103.72380834313493</v>
      </c>
      <c r="D21" s="49">
        <v>100.38803780655697</v>
      </c>
      <c r="E21" s="49">
        <v>110.63289171479828</v>
      </c>
      <c r="F21" s="49">
        <v>101.0977527880832</v>
      </c>
      <c r="G21" s="49">
        <v>103.68883481367382</v>
      </c>
      <c r="H21" s="49">
        <v>100.06522694210194</v>
      </c>
      <c r="I21" s="49">
        <v>109.51981849312817</v>
      </c>
      <c r="J21" s="49">
        <v>102.09928514721733</v>
      </c>
      <c r="K21" s="49">
        <v>105.32260161213459</v>
      </c>
      <c r="L21" s="49">
        <v>106.12941451378734</v>
      </c>
      <c r="M21" s="49">
        <v>100.03549044017129</v>
      </c>
      <c r="N21" s="49">
        <v>99.835061343093983</v>
      </c>
      <c r="O21" s="49">
        <v>102.84540006042768</v>
      </c>
      <c r="P21" s="49">
        <v>105.35472064936458</v>
      </c>
      <c r="Q21" s="49">
        <v>107.30426183023545</v>
      </c>
      <c r="R21" s="49">
        <v>111.5999710772369</v>
      </c>
      <c r="S21" s="49">
        <v>109.86165881617764</v>
      </c>
    </row>
    <row r="22" spans="1:19" s="7" customFormat="1" x14ac:dyDescent="0.25">
      <c r="A22" s="48" t="s">
        <v>231</v>
      </c>
      <c r="B22" s="49">
        <v>100</v>
      </c>
      <c r="C22" s="49">
        <v>104.10250052568928</v>
      </c>
      <c r="D22" s="49">
        <v>110.12883691970084</v>
      </c>
      <c r="E22" s="49">
        <v>104.45382006561371</v>
      </c>
      <c r="F22" s="49">
        <v>101.32768357608202</v>
      </c>
      <c r="G22" s="49">
        <v>105.00735203012324</v>
      </c>
      <c r="H22" s="49">
        <v>99.494115465958657</v>
      </c>
      <c r="I22" s="49">
        <v>108.69907393651411</v>
      </c>
      <c r="J22" s="49">
        <v>106.57216389492201</v>
      </c>
      <c r="K22" s="49">
        <v>107.62341338907952</v>
      </c>
      <c r="L22" s="49">
        <v>106.83001382545375</v>
      </c>
      <c r="M22" s="49">
        <v>97.725964986364886</v>
      </c>
      <c r="N22" s="49">
        <v>102.78555799578952</v>
      </c>
      <c r="O22" s="49">
        <v>103.61272043827596</v>
      </c>
      <c r="P22" s="49">
        <v>105.96990415055484</v>
      </c>
      <c r="Q22" s="49">
        <v>109.95101594128838</v>
      </c>
      <c r="R22" s="49">
        <v>105.36409850101248</v>
      </c>
      <c r="S22" s="49">
        <v>107.55634402861725</v>
      </c>
    </row>
    <row r="23" spans="1:19" s="7" customFormat="1" ht="13" x14ac:dyDescent="0.25">
      <c r="A23" s="129" t="s">
        <v>232</v>
      </c>
      <c r="B23" s="49"/>
      <c r="C23" s="49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4" spans="1:19" s="7" customFormat="1" x14ac:dyDescent="0.25">
      <c r="A24" s="48" t="s">
        <v>233</v>
      </c>
      <c r="B24" s="49">
        <v>100</v>
      </c>
      <c r="C24" s="49">
        <v>98.23138952949796</v>
      </c>
      <c r="D24" s="49">
        <v>105.80220887687595</v>
      </c>
      <c r="E24" s="49">
        <v>100.92452602769868</v>
      </c>
      <c r="F24" s="49">
        <v>97.922606856811072</v>
      </c>
      <c r="G24" s="49">
        <v>101.21563684279388</v>
      </c>
      <c r="H24" s="49">
        <v>102.90282901028959</v>
      </c>
      <c r="I24" s="49">
        <v>93.22219168730544</v>
      </c>
      <c r="J24" s="49">
        <v>98.841938324842232</v>
      </c>
      <c r="K24" s="49">
        <v>98.289693004724469</v>
      </c>
      <c r="L24" s="49">
        <v>94.659318255648614</v>
      </c>
      <c r="M24" s="49">
        <v>97.750610049950453</v>
      </c>
      <c r="N24" s="49">
        <v>92.37965402578034</v>
      </c>
      <c r="O24" s="49">
        <v>91.939357079983864</v>
      </c>
      <c r="P24" s="49">
        <v>99.490501361803396</v>
      </c>
      <c r="Q24" s="49">
        <v>97.176603698979861</v>
      </c>
      <c r="R24" s="49">
        <v>92.820405945824248</v>
      </c>
      <c r="S24" s="49">
        <v>94.568935150564215</v>
      </c>
    </row>
    <row r="25" spans="1:19" s="145" customFormat="1" x14ac:dyDescent="0.25">
      <c r="A25" s="111" t="s">
        <v>286</v>
      </c>
      <c r="B25" s="126">
        <f>65+6.751636853557</f>
        <v>71.751636853557002</v>
      </c>
      <c r="C25" s="126">
        <f>65+6.98448697625075</f>
        <v>71.98448697625075</v>
      </c>
      <c r="D25" s="126">
        <f>65+3.77623942147049</f>
        <v>68.776239421470493</v>
      </c>
      <c r="E25" s="126">
        <f>65+6.66914570299134</f>
        <v>71.669145702991344</v>
      </c>
      <c r="F25" s="126">
        <f>65+6.82232846843597</f>
        <v>71.82232846843597</v>
      </c>
      <c r="G25" s="126">
        <f>65+6.23502614450756</f>
        <v>71.235026144507557</v>
      </c>
      <c r="H25" s="126">
        <f>65+5.21832284804347</f>
        <v>70.218322848043471</v>
      </c>
      <c r="I25" s="126">
        <f>65+5.7336186872104</f>
        <v>70.733618687210395</v>
      </c>
      <c r="J25" s="126">
        <f>65+7.35938477367336</f>
        <v>72.359384773673355</v>
      </c>
      <c r="K25" s="126">
        <f>65+5.05373942149555</f>
        <v>70.05373942149555</v>
      </c>
      <c r="L25" s="126">
        <f>65+8.21411633492424</f>
        <v>73.214116334924242</v>
      </c>
      <c r="M25" s="126">
        <f>65+6.45755358822031</f>
        <v>71.457553588220307</v>
      </c>
      <c r="N25" s="126">
        <f>65+8.32044802788951</f>
        <v>73.320448027889512</v>
      </c>
      <c r="O25" s="126">
        <f>65+8.7332530390235</f>
        <v>73.733253039023495</v>
      </c>
      <c r="P25" s="126">
        <f>65+7.44433546036477</f>
        <v>72.444335460364769</v>
      </c>
      <c r="Q25" s="126">
        <f>65+7.40189838975625</f>
        <v>72.401898389756255</v>
      </c>
      <c r="R25" s="126">
        <f>65+8.36165208535465</f>
        <v>73.361652085354649</v>
      </c>
      <c r="S25" s="126">
        <f>65+9.77054097424353</f>
        <v>74.770540974243531</v>
      </c>
    </row>
    <row r="26" spans="1:19" s="7" customFormat="1" x14ac:dyDescent="0.25">
      <c r="A26" s="48" t="s">
        <v>235</v>
      </c>
      <c r="B26" s="49">
        <v>100</v>
      </c>
      <c r="C26" s="49">
        <v>101.02527373589297</v>
      </c>
      <c r="D26" s="49">
        <v>91.130149522060094</v>
      </c>
      <c r="E26" s="49">
        <v>97.778813199908271</v>
      </c>
      <c r="F26" s="49">
        <v>103.66015230905403</v>
      </c>
      <c r="G26" s="49">
        <v>98.518453747702992</v>
      </c>
      <c r="H26" s="49">
        <v>91.865618801821796</v>
      </c>
      <c r="I26" s="49">
        <v>100.26809648532573</v>
      </c>
      <c r="J26" s="49">
        <v>101.89910143641821</v>
      </c>
      <c r="K26" s="49">
        <v>102.80463602418</v>
      </c>
      <c r="L26" s="49">
        <v>104.17930733237029</v>
      </c>
      <c r="M26" s="49">
        <v>105.55653341378483</v>
      </c>
      <c r="N26" s="49">
        <v>102.39940666311705</v>
      </c>
      <c r="O26" s="49">
        <v>108.43838659406507</v>
      </c>
      <c r="P26" s="49">
        <v>104.09849266201611</v>
      </c>
      <c r="Q26" s="49">
        <v>106.00495529202011</v>
      </c>
      <c r="R26" s="49">
        <v>104.42055917922733</v>
      </c>
      <c r="S26" s="49">
        <v>108.02204755041349</v>
      </c>
    </row>
    <row r="27" spans="1:19" s="7" customFormat="1" x14ac:dyDescent="0.25">
      <c r="A27" s="111" t="s">
        <v>236</v>
      </c>
      <c r="B27" s="126">
        <f>65+7.7150581746045</f>
        <v>72.715058174604494</v>
      </c>
      <c r="C27" s="126">
        <f>65+7.94652161967709</f>
        <v>72.946521619677085</v>
      </c>
      <c r="D27" s="126">
        <f>65+10.1256947106498</f>
        <v>75.125694710649796</v>
      </c>
      <c r="E27" s="126">
        <f>65+9.55527349437854</f>
        <v>74.55527349437854</v>
      </c>
      <c r="F27" s="126">
        <f>65+8.02631119911703</f>
        <v>73.026311199117032</v>
      </c>
      <c r="G27" s="126">
        <f>65+6.77123779775778</f>
        <v>71.771237797757777</v>
      </c>
      <c r="H27" s="126">
        <f>65+8.75050522421481</f>
        <v>73.750505224214805</v>
      </c>
      <c r="I27" s="126">
        <f>65+7.8065558662873</f>
        <v>72.806555866287297</v>
      </c>
      <c r="J27" s="126">
        <f>65+9.09222904638781</f>
        <v>74.092229046387814</v>
      </c>
      <c r="K27" s="126">
        <f>65+8.7580417837904</f>
        <v>73.758041783790404</v>
      </c>
      <c r="L27" s="126">
        <f>65+6.7904920287974</f>
        <v>71.790492028797402</v>
      </c>
      <c r="M27" s="126">
        <f>65+6.96314109200227</f>
        <v>71.963141092002274</v>
      </c>
      <c r="N27" s="126">
        <f>65+8.36195293246216</f>
        <v>73.36195293246216</v>
      </c>
      <c r="O27" s="126">
        <f>65+6.68079858267704</f>
        <v>71.680798582677042</v>
      </c>
      <c r="P27" s="126">
        <f>65+6.71143477000022</f>
        <v>71.711434770000224</v>
      </c>
      <c r="Q27" s="126">
        <f>65+7.28734134141595</f>
        <v>72.287341341415953</v>
      </c>
      <c r="R27" s="126">
        <f>65+7.43994189928456</f>
        <v>72.439941899284563</v>
      </c>
      <c r="S27" s="126">
        <f>65+9.10660856595122</f>
        <v>74.10660856595122</v>
      </c>
    </row>
    <row r="28" spans="1:19" s="7" customFormat="1" x14ac:dyDescent="0.25">
      <c r="A28" s="48" t="s">
        <v>237</v>
      </c>
      <c r="B28" s="49">
        <v>100</v>
      </c>
      <c r="C28" s="49">
        <v>100.61559479761142</v>
      </c>
      <c r="D28" s="49">
        <v>100.46358554186945</v>
      </c>
      <c r="E28" s="49">
        <v>105.59581992234037</v>
      </c>
      <c r="F28" s="49">
        <v>103.56159090949426</v>
      </c>
      <c r="G28" s="49">
        <v>99.8530892214429</v>
      </c>
      <c r="H28" s="49">
        <v>103.87936432591722</v>
      </c>
      <c r="I28" s="49">
        <v>103.04441580084629</v>
      </c>
      <c r="J28" s="49">
        <v>101.88866253259062</v>
      </c>
      <c r="K28" s="49">
        <v>108.65618008145634</v>
      </c>
      <c r="L28" s="49">
        <v>98.377759641892283</v>
      </c>
      <c r="M28" s="49">
        <v>96.38949245248827</v>
      </c>
      <c r="N28" s="49">
        <v>101.26659052560241</v>
      </c>
      <c r="O28" s="49">
        <v>98.044340885713723</v>
      </c>
      <c r="P28" s="49">
        <v>99.970930152595855</v>
      </c>
      <c r="Q28" s="49">
        <v>97.673979758617278</v>
      </c>
      <c r="R28" s="49">
        <v>99.996479599810826</v>
      </c>
      <c r="S28" s="49">
        <v>104.0852745156232</v>
      </c>
    </row>
    <row r="29" spans="1:19" s="7" customFormat="1" x14ac:dyDescent="0.25">
      <c r="A29" s="48" t="s">
        <v>238</v>
      </c>
      <c r="B29" s="49">
        <v>100</v>
      </c>
      <c r="C29" s="49">
        <v>98.084022844443894</v>
      </c>
      <c r="D29" s="49">
        <v>95.361477053122044</v>
      </c>
      <c r="E29" s="49">
        <v>102.81142644338878</v>
      </c>
      <c r="F29" s="49">
        <v>100.65973360505907</v>
      </c>
      <c r="G29" s="49">
        <v>98.646349790475412</v>
      </c>
      <c r="H29" s="49">
        <v>98.461220903376073</v>
      </c>
      <c r="I29" s="49">
        <v>97.421129083520398</v>
      </c>
      <c r="J29" s="49">
        <v>98.908484357989778</v>
      </c>
      <c r="K29" s="49">
        <v>94.512456572448215</v>
      </c>
      <c r="L29" s="49">
        <v>99.967486371856623</v>
      </c>
      <c r="M29" s="49">
        <v>91.878871255116863</v>
      </c>
      <c r="N29" s="49">
        <v>94.681381584344052</v>
      </c>
      <c r="O29" s="49">
        <v>98.154700751408015</v>
      </c>
      <c r="P29" s="49">
        <v>92.587107598372739</v>
      </c>
      <c r="Q29" s="49">
        <v>99.316962049003735</v>
      </c>
      <c r="R29" s="49">
        <v>100.44015800530499</v>
      </c>
      <c r="S29" s="49">
        <v>103.3370777520948</v>
      </c>
    </row>
    <row r="30" spans="1:19" s="7" customFormat="1" ht="13" x14ac:dyDescent="0.25">
      <c r="A30" s="54" t="s">
        <v>239</v>
      </c>
      <c r="B30" s="126"/>
      <c r="C30" s="126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spans="1:19" s="7" customFormat="1" x14ac:dyDescent="0.25">
      <c r="A31" s="47" t="s">
        <v>240</v>
      </c>
      <c r="B31" s="126">
        <v>7.4658701251157149</v>
      </c>
      <c r="C31" s="126">
        <v>7.5769766599708142</v>
      </c>
      <c r="D31" s="133" t="s">
        <v>18</v>
      </c>
      <c r="E31" s="126">
        <v>7.5570283933464433</v>
      </c>
      <c r="F31" s="133" t="s">
        <v>18</v>
      </c>
      <c r="G31" s="126">
        <v>7.8496845763576841</v>
      </c>
      <c r="H31" s="126">
        <v>7.7246845763576832</v>
      </c>
      <c r="I31" s="126">
        <v>7.2599385997572847</v>
      </c>
      <c r="J31" s="126">
        <v>7.4626544659247847</v>
      </c>
      <c r="K31" s="133" t="s">
        <v>18</v>
      </c>
      <c r="L31" s="126">
        <v>7.5678343147218872</v>
      </c>
      <c r="M31" s="126">
        <v>7.3913512430243511</v>
      </c>
      <c r="N31" s="126">
        <v>7.5098856868622414</v>
      </c>
      <c r="O31" s="126">
        <v>7.2444643295202509</v>
      </c>
      <c r="P31" s="126">
        <v>7.520224380540788</v>
      </c>
      <c r="Q31" s="126">
        <v>7.5526900231714418</v>
      </c>
      <c r="R31" s="126">
        <v>7.3199834968666098</v>
      </c>
      <c r="S31" s="126">
        <v>7.7366501635332785</v>
      </c>
    </row>
    <row r="32" spans="1:19" s="7" customFormat="1" ht="13" x14ac:dyDescent="0.25">
      <c r="A32" s="54" t="s">
        <v>241</v>
      </c>
      <c r="B32" s="126"/>
      <c r="C32" s="126"/>
      <c r="D32" s="146"/>
      <c r="E32" s="126"/>
      <c r="F32" s="146"/>
      <c r="G32" s="126"/>
      <c r="H32" s="126"/>
      <c r="I32" s="126"/>
      <c r="J32" s="126"/>
      <c r="K32" s="146"/>
      <c r="L32" s="126"/>
      <c r="M32" s="126"/>
      <c r="N32" s="146"/>
      <c r="O32" s="126"/>
      <c r="P32" s="126"/>
      <c r="Q32" s="146"/>
      <c r="R32" s="146"/>
      <c r="S32" s="146"/>
    </row>
    <row r="33" spans="1:19" s="7" customFormat="1" x14ac:dyDescent="0.25">
      <c r="A33" s="47" t="s">
        <v>242</v>
      </c>
      <c r="B33" s="133">
        <v>5.8125050399999987</v>
      </c>
      <c r="C33" s="60">
        <v>5.6000000000000005</v>
      </c>
      <c r="D33" s="126">
        <v>8.8000000000000007</v>
      </c>
      <c r="E33" s="126">
        <v>5.3</v>
      </c>
      <c r="F33" s="126">
        <v>7.5</v>
      </c>
      <c r="G33" s="126">
        <v>5.6</v>
      </c>
      <c r="H33" s="126">
        <v>4.8</v>
      </c>
      <c r="I33" s="133">
        <v>6.3</v>
      </c>
      <c r="J33" s="126">
        <v>6.3</v>
      </c>
      <c r="K33" s="126">
        <v>6.6</v>
      </c>
      <c r="L33" s="126">
        <v>6.1</v>
      </c>
      <c r="M33" s="126">
        <v>5.0999999999999996</v>
      </c>
      <c r="N33" s="126">
        <v>6</v>
      </c>
      <c r="O33" s="126">
        <v>6.4</v>
      </c>
      <c r="P33" s="126">
        <v>7</v>
      </c>
      <c r="Q33" s="126">
        <v>5.6</v>
      </c>
      <c r="R33" s="126">
        <v>6.7</v>
      </c>
      <c r="S33" s="126">
        <v>6.2</v>
      </c>
    </row>
    <row r="34" spans="1:19" s="7" customFormat="1" x14ac:dyDescent="0.25">
      <c r="A34" s="47" t="s">
        <v>243</v>
      </c>
      <c r="B34" s="133">
        <v>5.3193624319999993</v>
      </c>
      <c r="C34" s="60">
        <v>5.1749999999999998</v>
      </c>
      <c r="D34" s="133">
        <v>5.6</v>
      </c>
      <c r="E34" s="126">
        <v>4.7</v>
      </c>
      <c r="F34" s="133">
        <v>3.8</v>
      </c>
      <c r="G34" s="126">
        <v>5.8</v>
      </c>
      <c r="H34" s="126">
        <v>5.0999999999999996</v>
      </c>
      <c r="I34" s="133">
        <v>5.3</v>
      </c>
      <c r="J34" s="133">
        <v>4.5999999999999996</v>
      </c>
      <c r="K34" s="133">
        <v>5.4</v>
      </c>
      <c r="L34" s="126">
        <v>5.3</v>
      </c>
      <c r="M34" s="126">
        <v>5.2</v>
      </c>
      <c r="N34" s="133">
        <v>5.0999999999999996</v>
      </c>
      <c r="O34" s="133">
        <v>5.3</v>
      </c>
      <c r="P34" s="126">
        <v>4.5999999999999996</v>
      </c>
      <c r="Q34" s="126">
        <v>5.6</v>
      </c>
      <c r="R34" s="133">
        <v>7.1</v>
      </c>
      <c r="S34" s="133">
        <v>7.1</v>
      </c>
    </row>
    <row r="35" spans="1:19" s="7" customFormat="1" x14ac:dyDescent="0.25">
      <c r="A35" s="47" t="s">
        <v>244</v>
      </c>
      <c r="B35" s="133">
        <v>6.6860034999999991</v>
      </c>
      <c r="C35" s="60">
        <v>6.9375</v>
      </c>
      <c r="D35" s="133" t="s">
        <v>18</v>
      </c>
      <c r="E35" s="126">
        <v>6.7</v>
      </c>
      <c r="F35" s="133" t="s">
        <v>18</v>
      </c>
      <c r="G35" s="126">
        <v>5.0999999999999996</v>
      </c>
      <c r="H35" s="126">
        <v>7.4</v>
      </c>
      <c r="I35" s="133">
        <v>6.3</v>
      </c>
      <c r="J35" s="133">
        <v>7.2</v>
      </c>
      <c r="K35" s="133" t="s">
        <v>18</v>
      </c>
      <c r="L35" s="126">
        <v>7.7</v>
      </c>
      <c r="M35" s="126">
        <v>5.7</v>
      </c>
      <c r="N35" s="133">
        <v>7.8</v>
      </c>
      <c r="O35" s="133">
        <v>6.1</v>
      </c>
      <c r="P35" s="126">
        <v>6.6</v>
      </c>
      <c r="Q35" s="126">
        <v>7.9</v>
      </c>
      <c r="R35" s="133" t="s">
        <v>287</v>
      </c>
      <c r="S35" s="133" t="s">
        <v>288</v>
      </c>
    </row>
    <row r="36" spans="1:19" s="7" customFormat="1" ht="13" x14ac:dyDescent="0.25">
      <c r="A36" s="54" t="s">
        <v>245</v>
      </c>
      <c r="B36" s="133"/>
      <c r="C36" s="60"/>
      <c r="D36" s="133"/>
      <c r="E36" s="126"/>
      <c r="F36" s="133"/>
      <c r="G36" s="126"/>
      <c r="H36" s="126"/>
      <c r="I36" s="133"/>
      <c r="J36" s="133"/>
      <c r="K36" s="133"/>
      <c r="L36" s="126"/>
      <c r="M36" s="126"/>
      <c r="N36" s="133"/>
      <c r="O36" s="133"/>
      <c r="P36" s="126"/>
      <c r="Q36" s="126"/>
      <c r="R36" s="133"/>
      <c r="S36" s="133"/>
    </row>
    <row r="37" spans="1:19" s="7" customFormat="1" x14ac:dyDescent="0.25">
      <c r="A37" s="47" t="s">
        <v>246</v>
      </c>
      <c r="B37" s="134" t="s">
        <v>18</v>
      </c>
      <c r="C37" s="134" t="s">
        <v>18</v>
      </c>
      <c r="D37" s="134">
        <v>2026</v>
      </c>
      <c r="E37" s="134">
        <v>2018</v>
      </c>
      <c r="F37" s="134">
        <v>2025</v>
      </c>
      <c r="G37" s="134">
        <v>2014</v>
      </c>
      <c r="H37" s="134">
        <v>2014</v>
      </c>
      <c r="I37" s="134">
        <v>2023</v>
      </c>
      <c r="J37" s="134">
        <v>2016</v>
      </c>
      <c r="K37" s="134">
        <v>2026</v>
      </c>
      <c r="L37" s="34">
        <v>2008</v>
      </c>
      <c r="M37" s="134">
        <v>2014</v>
      </c>
      <c r="N37" s="134">
        <v>2016</v>
      </c>
      <c r="O37" s="134">
        <v>2022</v>
      </c>
      <c r="P37" s="134">
        <v>2018</v>
      </c>
      <c r="Q37" s="134">
        <v>2011</v>
      </c>
      <c r="R37" s="134">
        <v>2024</v>
      </c>
      <c r="S37" s="134">
        <v>2024</v>
      </c>
    </row>
    <row r="38" spans="1:19" s="7" customFormat="1" x14ac:dyDescent="0.25">
      <c r="A38" s="47" t="s">
        <v>247</v>
      </c>
      <c r="B38" s="134" t="s">
        <v>18</v>
      </c>
      <c r="C38" s="134" t="s">
        <v>18</v>
      </c>
      <c r="D38" s="141" t="s">
        <v>148</v>
      </c>
      <c r="E38" s="141" t="s">
        <v>148</v>
      </c>
      <c r="F38" s="141" t="s">
        <v>249</v>
      </c>
      <c r="G38" s="141" t="s">
        <v>156</v>
      </c>
      <c r="H38" s="141" t="s">
        <v>148</v>
      </c>
      <c r="I38" s="141" t="s">
        <v>159</v>
      </c>
      <c r="J38" s="141" t="s">
        <v>151</v>
      </c>
      <c r="K38" s="141" t="s">
        <v>148</v>
      </c>
      <c r="L38" s="141" t="s">
        <v>151</v>
      </c>
      <c r="M38" s="141" t="s">
        <v>151</v>
      </c>
      <c r="N38" s="141" t="s">
        <v>148</v>
      </c>
      <c r="O38" s="141" t="s">
        <v>156</v>
      </c>
      <c r="P38" s="141" t="s">
        <v>156</v>
      </c>
      <c r="Q38" s="141" t="s">
        <v>151</v>
      </c>
      <c r="R38" s="141" t="s">
        <v>156</v>
      </c>
      <c r="S38" s="141" t="s">
        <v>151</v>
      </c>
    </row>
    <row r="39" spans="1:19" s="7" customFormat="1" x14ac:dyDescent="0.25">
      <c r="A39" s="47" t="s">
        <v>248</v>
      </c>
      <c r="B39" s="134" t="s">
        <v>18</v>
      </c>
      <c r="C39" s="134" t="s">
        <v>18</v>
      </c>
      <c r="D39" s="141" t="s">
        <v>249</v>
      </c>
      <c r="E39" s="141" t="s">
        <v>249</v>
      </c>
      <c r="F39" s="141" t="s">
        <v>249</v>
      </c>
      <c r="G39" s="141" t="s">
        <v>156</v>
      </c>
      <c r="H39" s="141" t="s">
        <v>249</v>
      </c>
      <c r="I39" s="141" t="s">
        <v>159</v>
      </c>
      <c r="J39" s="141" t="s">
        <v>267</v>
      </c>
      <c r="K39" s="141" t="s">
        <v>249</v>
      </c>
      <c r="L39" s="141" t="s">
        <v>267</v>
      </c>
      <c r="M39" s="141" t="s">
        <v>267</v>
      </c>
      <c r="N39" s="141" t="s">
        <v>249</v>
      </c>
      <c r="O39" s="141" t="s">
        <v>289</v>
      </c>
      <c r="P39" s="141" t="s">
        <v>156</v>
      </c>
      <c r="Q39" s="141" t="s">
        <v>267</v>
      </c>
      <c r="R39" s="141" t="s">
        <v>156</v>
      </c>
      <c r="S39" s="141" t="s">
        <v>267</v>
      </c>
    </row>
    <row r="40" spans="1:19" s="7" customFormat="1" ht="13" x14ac:dyDescent="0.25">
      <c r="A40" s="53" t="s">
        <v>250</v>
      </c>
      <c r="B40" s="134"/>
      <c r="C40" s="134"/>
      <c r="D40" s="34"/>
      <c r="E40" s="134"/>
      <c r="F40" s="34"/>
      <c r="G40" s="134"/>
      <c r="H40" s="134"/>
      <c r="I40" s="134"/>
      <c r="J40" s="134"/>
      <c r="K40" s="34"/>
      <c r="L40" s="134"/>
      <c r="M40" s="134"/>
      <c r="N40" s="34"/>
      <c r="O40" s="134"/>
      <c r="P40" s="34"/>
      <c r="Q40" s="34"/>
      <c r="R40" s="34"/>
      <c r="S40" s="34"/>
    </row>
    <row r="41" spans="1:19" s="7" customFormat="1" x14ac:dyDescent="0.25">
      <c r="A41" s="47" t="s">
        <v>251</v>
      </c>
      <c r="B41" s="134" t="s">
        <v>18</v>
      </c>
      <c r="C41" s="134" t="s">
        <v>18</v>
      </c>
      <c r="D41" s="34">
        <v>5</v>
      </c>
      <c r="E41" s="134">
        <v>20</v>
      </c>
      <c r="F41" s="34">
        <v>5</v>
      </c>
      <c r="G41" s="134">
        <v>13</v>
      </c>
      <c r="H41" s="134">
        <v>13</v>
      </c>
      <c r="I41" s="134">
        <v>12</v>
      </c>
      <c r="J41" s="134">
        <v>13</v>
      </c>
      <c r="K41" s="34">
        <v>5</v>
      </c>
      <c r="L41" s="134">
        <v>28</v>
      </c>
      <c r="M41" s="134">
        <v>13</v>
      </c>
      <c r="N41" s="34">
        <v>13</v>
      </c>
      <c r="O41" s="134">
        <v>13</v>
      </c>
      <c r="P41" s="128">
        <v>11</v>
      </c>
      <c r="Q41" s="134">
        <v>11</v>
      </c>
      <c r="R41" s="34">
        <v>9</v>
      </c>
      <c r="S41" s="34">
        <v>9</v>
      </c>
    </row>
    <row r="42" spans="1:19" s="7" customFormat="1" x14ac:dyDescent="0.25">
      <c r="A42" s="47" t="s">
        <v>252</v>
      </c>
      <c r="B42" s="134" t="s">
        <v>18</v>
      </c>
      <c r="C42" s="134" t="s">
        <v>18</v>
      </c>
      <c r="D42" s="34">
        <v>5</v>
      </c>
      <c r="E42" s="34">
        <v>17</v>
      </c>
      <c r="F42" s="34">
        <v>5</v>
      </c>
      <c r="G42" s="34">
        <v>12</v>
      </c>
      <c r="H42" s="34">
        <v>12</v>
      </c>
      <c r="I42" s="34">
        <v>9</v>
      </c>
      <c r="J42" s="34">
        <v>12</v>
      </c>
      <c r="K42" s="34">
        <v>5</v>
      </c>
      <c r="L42" s="34">
        <v>25</v>
      </c>
      <c r="M42" s="34">
        <v>12</v>
      </c>
      <c r="N42" s="34">
        <v>12</v>
      </c>
      <c r="O42" s="34">
        <v>12</v>
      </c>
      <c r="P42" s="34">
        <v>10</v>
      </c>
      <c r="Q42" s="34">
        <v>10</v>
      </c>
      <c r="R42" s="34">
        <v>6</v>
      </c>
      <c r="S42" s="34">
        <v>6</v>
      </c>
    </row>
    <row r="43" spans="1:19" s="7" customFormat="1" x14ac:dyDescent="0.25">
      <c r="A43" s="47" t="s">
        <v>253</v>
      </c>
      <c r="B43" s="134" t="s">
        <v>18</v>
      </c>
      <c r="C43" s="134" t="s">
        <v>18</v>
      </c>
      <c r="D43" s="34">
        <v>5</v>
      </c>
      <c r="E43" s="34">
        <v>16</v>
      </c>
      <c r="F43" s="34">
        <v>5</v>
      </c>
      <c r="G43" s="34">
        <v>11</v>
      </c>
      <c r="H43" s="34">
        <v>11</v>
      </c>
      <c r="I43" s="34">
        <v>6</v>
      </c>
      <c r="J43" s="34">
        <v>11</v>
      </c>
      <c r="K43" s="34">
        <v>5</v>
      </c>
      <c r="L43" s="34">
        <v>23</v>
      </c>
      <c r="M43" s="34">
        <v>11</v>
      </c>
      <c r="N43" s="34">
        <v>11</v>
      </c>
      <c r="O43" s="34">
        <v>9</v>
      </c>
      <c r="P43" s="34">
        <v>11</v>
      </c>
      <c r="Q43" s="34">
        <v>10</v>
      </c>
      <c r="R43" s="34">
        <v>6</v>
      </c>
      <c r="S43" s="34">
        <v>6</v>
      </c>
    </row>
    <row r="44" spans="1:19" x14ac:dyDescent="0.25">
      <c r="A44" s="93" t="s">
        <v>254</v>
      </c>
      <c r="B44" s="113"/>
      <c r="C44" s="113"/>
      <c r="D44" s="113"/>
      <c r="E44" s="115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</row>
    <row r="45" spans="1:19" ht="13" x14ac:dyDescent="0.3">
      <c r="A45" s="94" t="s">
        <v>255</v>
      </c>
      <c r="B45" s="143"/>
      <c r="C45" s="143"/>
      <c r="D45" s="95"/>
      <c r="E45" s="113"/>
      <c r="F45" s="95"/>
      <c r="G45" s="113"/>
      <c r="H45" s="113"/>
      <c r="I45" s="113"/>
      <c r="J45" s="113"/>
      <c r="K45" s="95"/>
      <c r="L45" s="93"/>
      <c r="M45" s="113"/>
      <c r="N45" s="95"/>
      <c r="O45" s="113"/>
      <c r="P45" s="93"/>
      <c r="Q45" s="114"/>
      <c r="R45" s="95"/>
      <c r="S45" s="95"/>
    </row>
    <row r="46" spans="1:19" ht="13" x14ac:dyDescent="0.3">
      <c r="A46" s="94" t="s">
        <v>256</v>
      </c>
      <c r="B46" s="143"/>
      <c r="C46" s="143"/>
      <c r="D46" s="95"/>
      <c r="E46" s="113"/>
      <c r="F46" s="95"/>
      <c r="G46" s="113"/>
      <c r="H46" s="113"/>
      <c r="I46" s="113"/>
      <c r="J46" s="113"/>
      <c r="K46" s="95"/>
      <c r="L46" s="93"/>
      <c r="M46" s="113"/>
      <c r="N46" s="95"/>
      <c r="O46" s="113"/>
      <c r="P46" s="93"/>
      <c r="Q46" s="114"/>
      <c r="R46" s="95"/>
      <c r="S46" s="95"/>
    </row>
    <row r="47" spans="1:19" ht="13" x14ac:dyDescent="0.3">
      <c r="A47" s="94" t="s">
        <v>257</v>
      </c>
      <c r="B47" s="143"/>
      <c r="C47" s="143"/>
      <c r="D47" s="95"/>
      <c r="E47" s="113"/>
      <c r="F47" s="95"/>
      <c r="G47" s="113"/>
      <c r="H47" s="113"/>
      <c r="I47" s="113"/>
      <c r="J47" s="113"/>
      <c r="K47" s="95"/>
      <c r="L47" s="93"/>
      <c r="M47" s="113"/>
      <c r="N47" s="95"/>
      <c r="O47" s="113"/>
      <c r="P47" s="93"/>
      <c r="Q47" s="114"/>
      <c r="R47" s="95"/>
      <c r="S47" s="95"/>
    </row>
    <row r="48" spans="1:19" x14ac:dyDescent="0.25">
      <c r="A48" s="93" t="s">
        <v>258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</row>
    <row r="49" spans="1:19" x14ac:dyDescent="0.25">
      <c r="A49" s="115" t="s">
        <v>259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</row>
  </sheetData>
  <sheetProtection algorithmName="SHA-512" hashValue="7QSlluT9yRV59HF9gsFw+RIAjSjpYqkGRskwVzT/keZrKJQTp4ElmHGdIQJP1fFgjqabRxwLGsFWnPQWF6XF/Q==" saltValue="1UvgRy90aP7/IpxyDgLCqw==" spinCount="100000" sheet="1" objects="1" scenarios="1"/>
  <sortState xmlns:xlrd2="http://schemas.microsoft.com/office/spreadsheetml/2017/richdata2" columnSort="1" ref="E1:S54">
    <sortCondition ref="E5:S5"/>
  </sortState>
  <phoneticPr fontId="8" type="noConversion"/>
  <printOptions horizontalCentered="1" verticalCentered="1"/>
  <pageMargins left="0.39370078740157483" right="0.39370078740157483" top="0.39370078740157483" bottom="0.39370078740157483" header="0.19685039370078741" footer="0.15748031496062992"/>
  <pageSetup paperSize="8" scale="76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U69"/>
  <sheetViews>
    <sheetView topLeftCell="J1" zoomScaleNormal="100" workbookViewId="0">
      <selection activeCell="P26" sqref="P26"/>
    </sheetView>
  </sheetViews>
  <sheetFormatPr defaultColWidth="9.26953125" defaultRowHeight="12.5" x14ac:dyDescent="0.25"/>
  <cols>
    <col min="1" max="1" width="144.1796875" bestFit="1" customWidth="1"/>
    <col min="2" max="2" width="23.7265625" style="118" bestFit="1" customWidth="1"/>
    <col min="3" max="3" width="31.453125" style="118" bestFit="1" customWidth="1"/>
    <col min="4" max="4" width="10" style="118" bestFit="1" customWidth="1"/>
    <col min="5" max="5" width="10.1796875" style="118" bestFit="1" customWidth="1"/>
    <col min="6" max="6" width="12.26953125" style="118" bestFit="1" customWidth="1"/>
    <col min="7" max="7" width="12.54296875" style="118" bestFit="1" customWidth="1"/>
    <col min="8" max="8" width="10.1796875" style="118" bestFit="1" customWidth="1"/>
    <col min="9" max="9" width="13.81640625" style="118" bestFit="1" customWidth="1"/>
    <col min="10" max="10" width="24.54296875" style="118" bestFit="1" customWidth="1"/>
    <col min="11" max="11" width="14.81640625" style="118" bestFit="1" customWidth="1"/>
    <col min="12" max="12" width="9.453125" style="118" bestFit="1" customWidth="1"/>
    <col min="13" max="13" width="11" style="118" bestFit="1" customWidth="1"/>
    <col min="14" max="14" width="14" style="118" bestFit="1" customWidth="1"/>
    <col min="15" max="15" width="9.54296875" style="118" bestFit="1" customWidth="1"/>
    <col min="16" max="16" width="12.1796875" style="118" bestFit="1" customWidth="1"/>
    <col min="17" max="17" width="10.1796875" style="118" bestFit="1" customWidth="1"/>
    <col min="18" max="18" width="10.7265625" style="118" bestFit="1" customWidth="1"/>
    <col min="19" max="19" width="15.1796875" style="118" bestFit="1" customWidth="1"/>
    <col min="20" max="20" width="3.26953125" customWidth="1"/>
  </cols>
  <sheetData>
    <row r="1" spans="1:19" ht="14" x14ac:dyDescent="0.3">
      <c r="A1" s="9" t="s">
        <v>183</v>
      </c>
      <c r="B1" s="109"/>
      <c r="C1" s="109"/>
      <c r="D1" s="2"/>
      <c r="E1" s="2"/>
      <c r="F1" s="2"/>
      <c r="G1" s="3"/>
      <c r="H1" s="2"/>
      <c r="I1" s="2"/>
      <c r="J1" s="2"/>
      <c r="K1" s="3"/>
      <c r="L1" s="2"/>
      <c r="M1" s="2"/>
      <c r="N1" s="3"/>
      <c r="O1" s="2"/>
      <c r="P1" s="3"/>
      <c r="Q1" s="3"/>
    </row>
    <row r="2" spans="1:19" ht="14" x14ac:dyDescent="0.3">
      <c r="A2" s="9"/>
      <c r="B2" s="109"/>
      <c r="C2" s="109"/>
      <c r="D2" s="2"/>
      <c r="E2" s="2"/>
      <c r="F2" s="2"/>
      <c r="G2" s="3"/>
      <c r="H2" s="2"/>
      <c r="I2" s="2"/>
      <c r="J2" s="3"/>
      <c r="K2" s="3"/>
      <c r="L2" s="3"/>
      <c r="M2" s="2"/>
      <c r="N2" s="3"/>
      <c r="O2" s="2"/>
      <c r="P2" s="3"/>
      <c r="Q2" s="3"/>
    </row>
    <row r="3" spans="1:19" ht="14" x14ac:dyDescent="0.25">
      <c r="A3" s="88" t="s">
        <v>183</v>
      </c>
      <c r="B3" s="88" t="s">
        <v>208</v>
      </c>
      <c r="C3" s="88" t="s">
        <v>290</v>
      </c>
      <c r="D3" s="88" t="s">
        <v>291</v>
      </c>
      <c r="E3" s="88" t="s">
        <v>292</v>
      </c>
      <c r="F3" s="88" t="s">
        <v>293</v>
      </c>
      <c r="G3" s="88" t="s">
        <v>294</v>
      </c>
      <c r="H3" s="88" t="s">
        <v>295</v>
      </c>
      <c r="I3" s="88" t="s">
        <v>296</v>
      </c>
      <c r="J3" s="88" t="s">
        <v>297</v>
      </c>
      <c r="K3" s="88" t="s">
        <v>298</v>
      </c>
      <c r="L3" s="88" t="s">
        <v>299</v>
      </c>
      <c r="M3" s="88" t="s">
        <v>300</v>
      </c>
      <c r="N3" s="88" t="s">
        <v>301</v>
      </c>
      <c r="O3" s="88" t="s">
        <v>302</v>
      </c>
      <c r="P3" s="88" t="s">
        <v>303</v>
      </c>
      <c r="Q3" s="88" t="s">
        <v>304</v>
      </c>
      <c r="R3" s="88" t="s">
        <v>305</v>
      </c>
      <c r="S3" s="88" t="s">
        <v>306</v>
      </c>
    </row>
    <row r="4" spans="1:19" ht="13" x14ac:dyDescent="0.25">
      <c r="A4" s="69" t="s">
        <v>213</v>
      </c>
      <c r="B4" s="39" t="s">
        <v>18</v>
      </c>
      <c r="C4" s="39" t="s">
        <v>18</v>
      </c>
      <c r="D4" s="32" t="s">
        <v>9</v>
      </c>
      <c r="E4" s="32" t="s">
        <v>6</v>
      </c>
      <c r="F4" s="32" t="s">
        <v>12</v>
      </c>
      <c r="G4" s="32" t="s">
        <v>12</v>
      </c>
      <c r="H4" s="32" t="s">
        <v>6</v>
      </c>
      <c r="I4" s="32" t="s">
        <v>12</v>
      </c>
      <c r="J4" s="32" t="s">
        <v>9</v>
      </c>
      <c r="K4" s="32" t="s">
        <v>15</v>
      </c>
      <c r="L4" s="32" t="s">
        <v>6</v>
      </c>
      <c r="M4" s="32" t="s">
        <v>12</v>
      </c>
      <c r="N4" s="32" t="s">
        <v>12</v>
      </c>
      <c r="O4" s="32" t="s">
        <v>15</v>
      </c>
      <c r="P4" s="32" t="s">
        <v>6</v>
      </c>
      <c r="Q4" s="32" t="s">
        <v>12</v>
      </c>
      <c r="R4" s="32" t="s">
        <v>9</v>
      </c>
      <c r="S4" s="32" t="s">
        <v>9</v>
      </c>
    </row>
    <row r="5" spans="1:19" s="7" customFormat="1" ht="13" x14ac:dyDescent="0.25">
      <c r="A5" s="56" t="s">
        <v>214</v>
      </c>
      <c r="B5" s="39" t="s">
        <v>18</v>
      </c>
      <c r="C5" s="39" t="s">
        <v>18</v>
      </c>
      <c r="D5" s="33">
        <v>139.67099999999999</v>
      </c>
      <c r="E5" s="33">
        <v>141.35300000000001</v>
      </c>
      <c r="F5" s="33">
        <v>142.10899999999998</v>
      </c>
      <c r="G5" s="33">
        <v>142.63</v>
      </c>
      <c r="H5" s="33">
        <v>142.73399999999998</v>
      </c>
      <c r="I5" s="33">
        <v>143.22</v>
      </c>
      <c r="J5" s="33">
        <v>143.6</v>
      </c>
      <c r="K5" s="33">
        <v>144.10899999999998</v>
      </c>
      <c r="L5" s="33">
        <v>144.703</v>
      </c>
      <c r="M5" s="33">
        <v>146.221</v>
      </c>
      <c r="N5" s="33">
        <v>146.70999999999998</v>
      </c>
      <c r="O5" s="33">
        <v>147.87299999999999</v>
      </c>
      <c r="P5" s="33">
        <v>148.33799999999999</v>
      </c>
      <c r="Q5" s="33">
        <v>148.416</v>
      </c>
      <c r="R5" s="33">
        <v>149.49099999999999</v>
      </c>
      <c r="S5" s="33">
        <v>150.45600000000002</v>
      </c>
    </row>
    <row r="6" spans="1:19" s="7" customFormat="1" ht="13" x14ac:dyDescent="0.25">
      <c r="A6" s="53" t="s">
        <v>215</v>
      </c>
      <c r="B6" s="34"/>
      <c r="C6" s="34"/>
      <c r="D6" s="147"/>
      <c r="E6" s="147"/>
      <c r="F6" s="147"/>
      <c r="G6" s="147"/>
      <c r="H6" s="147"/>
      <c r="I6" s="143"/>
      <c r="J6" s="147"/>
      <c r="K6" s="147"/>
      <c r="L6" s="147"/>
      <c r="M6" s="143"/>
      <c r="N6" s="147"/>
      <c r="O6" s="143"/>
      <c r="P6" s="147"/>
      <c r="Q6" s="147"/>
      <c r="R6" s="147"/>
      <c r="S6" s="147"/>
    </row>
    <row r="7" spans="1:19" s="7" customFormat="1" x14ac:dyDescent="0.25">
      <c r="A7" s="48" t="s">
        <v>216</v>
      </c>
      <c r="B7" s="49">
        <v>100</v>
      </c>
      <c r="C7" s="49">
        <v>99.9645323767853</v>
      </c>
      <c r="D7" s="49">
        <v>100.44221518946658</v>
      </c>
      <c r="E7" s="49">
        <v>98.750291146183585</v>
      </c>
      <c r="F7" s="49">
        <v>102.49801663139152</v>
      </c>
      <c r="G7" s="49">
        <v>100.19938987554666</v>
      </c>
      <c r="H7" s="49">
        <v>99.51264869355623</v>
      </c>
      <c r="I7" s="49">
        <v>102.69583383274919</v>
      </c>
      <c r="J7" s="49">
        <v>99.192711909156515</v>
      </c>
      <c r="K7" s="49">
        <v>106.0252209344772</v>
      </c>
      <c r="L7" s="49">
        <v>103.23036963071034</v>
      </c>
      <c r="M7" s="49">
        <v>109.96589251163243</v>
      </c>
      <c r="N7" s="49">
        <v>99.930667848095212</v>
      </c>
      <c r="O7" s="49">
        <v>102.70899608620205</v>
      </c>
      <c r="P7" s="49">
        <v>105.0867876103276</v>
      </c>
      <c r="Q7" s="49">
        <v>97.908220044922984</v>
      </c>
      <c r="R7" s="49">
        <v>101.08722865474738</v>
      </c>
      <c r="S7" s="49">
        <v>94.908022966430323</v>
      </c>
    </row>
    <row r="8" spans="1:19" s="7" customFormat="1" x14ac:dyDescent="0.25">
      <c r="A8" s="111" t="s">
        <v>217</v>
      </c>
      <c r="B8" s="126">
        <f>65+11.8875479735432</f>
        <v>76.887547973543207</v>
      </c>
      <c r="C8" s="126">
        <f>65+12.1704850141154</f>
        <v>77.1704850141154</v>
      </c>
      <c r="D8" s="126">
        <f>65+11.0716838445069</f>
        <v>76.071683844506907</v>
      </c>
      <c r="E8" s="126">
        <f>65+11.876781240781</f>
        <v>76.876781240781</v>
      </c>
      <c r="F8" s="126">
        <f>65+11.7116666458907</f>
        <v>76.711666645890702</v>
      </c>
      <c r="G8" s="126">
        <f>65+11.6229583222836</f>
        <v>76.622958322283594</v>
      </c>
      <c r="H8" s="126">
        <f>65+11.5851763913736</f>
        <v>76.585176391373608</v>
      </c>
      <c r="I8" s="126">
        <f>65+11.1061095523285</f>
        <v>76.106109552328505</v>
      </c>
      <c r="J8" s="126">
        <f>65+13.0416483751891</f>
        <v>78.041648375189098</v>
      </c>
      <c r="K8" s="126">
        <f>65+10.1709527312089</f>
        <v>75.170952731208899</v>
      </c>
      <c r="L8" s="126">
        <f>65+10.7179247540582</f>
        <v>75.717924754058203</v>
      </c>
      <c r="M8" s="126">
        <f>65+11.6340142423222</f>
        <v>76.634014242322195</v>
      </c>
      <c r="N8" s="126">
        <f>65+11.7187665351743</f>
        <v>76.718766535174296</v>
      </c>
      <c r="O8" s="126">
        <f>65+11.8518173011351</f>
        <v>76.8518173011351</v>
      </c>
      <c r="P8" s="126">
        <f>65+13.6152443804251</f>
        <v>78.615244380425096</v>
      </c>
      <c r="Q8" s="126">
        <f>65+10.9711733154254</f>
        <v>75.971173315425403</v>
      </c>
      <c r="R8" s="126">
        <f>65+12.084768905632</f>
        <v>77.084768905632004</v>
      </c>
      <c r="S8" s="126">
        <f>65+12.7892553219737</f>
        <v>77.789255321973698</v>
      </c>
    </row>
    <row r="9" spans="1:19" s="148" customFormat="1" x14ac:dyDescent="0.25">
      <c r="A9" s="50" t="s">
        <v>218</v>
      </c>
      <c r="B9" s="38">
        <v>100</v>
      </c>
      <c r="C9" s="38">
        <v>100.17684865560179</v>
      </c>
      <c r="D9" s="38">
        <v>99.597630851920158</v>
      </c>
      <c r="E9" s="38">
        <v>98.479502981821156</v>
      </c>
      <c r="F9" s="38">
        <v>102.11533881363872</v>
      </c>
      <c r="G9" s="38">
        <v>99.767654614672978</v>
      </c>
      <c r="H9" s="38">
        <v>98.764629646315583</v>
      </c>
      <c r="I9" s="38">
        <v>101.59501930133177</v>
      </c>
      <c r="J9" s="38">
        <v>100.55896507563025</v>
      </c>
      <c r="K9" s="38">
        <v>103.85483939111833</v>
      </c>
      <c r="L9" s="38">
        <v>101.41896991213639</v>
      </c>
      <c r="M9" s="38">
        <v>109.62306360240333</v>
      </c>
      <c r="N9" s="38">
        <v>99.751780617965125</v>
      </c>
      <c r="O9" s="38">
        <v>102.62930299257293</v>
      </c>
      <c r="P9" s="38">
        <v>107.15305706745588</v>
      </c>
      <c r="Q9" s="38">
        <v>96.869217621604292</v>
      </c>
      <c r="R9" s="38">
        <v>101.24928088973242</v>
      </c>
      <c r="S9" s="38">
        <v>95.816990496365463</v>
      </c>
    </row>
    <row r="10" spans="1:19" s="7" customFormat="1" x14ac:dyDescent="0.25">
      <c r="A10" s="48" t="s">
        <v>219</v>
      </c>
      <c r="B10" s="49">
        <v>70.831613448245761</v>
      </c>
      <c r="C10" s="49">
        <v>65.94163914926466</v>
      </c>
      <c r="D10" s="49">
        <v>62.062475164006315</v>
      </c>
      <c r="E10" s="49">
        <v>67.539585290310669</v>
      </c>
      <c r="F10" s="49">
        <v>64.23555957894591</v>
      </c>
      <c r="G10" s="49">
        <v>66.71143565209276</v>
      </c>
      <c r="H10" s="49">
        <v>68.816822063131312</v>
      </c>
      <c r="I10" s="49">
        <v>61.916293442017107</v>
      </c>
      <c r="J10" s="49">
        <v>62.175982734729565</v>
      </c>
      <c r="K10" s="49">
        <v>60.644403809524455</v>
      </c>
      <c r="L10" s="49">
        <v>71.371455494063213</v>
      </c>
      <c r="M10" s="49">
        <v>64.689028976815564</v>
      </c>
      <c r="N10" s="49">
        <v>67.260773709544821</v>
      </c>
      <c r="O10" s="49">
        <v>68.301318737333702</v>
      </c>
      <c r="P10" s="49">
        <v>68.300723643595603</v>
      </c>
      <c r="Q10" s="49">
        <v>67.883532258151902</v>
      </c>
      <c r="R10" s="49">
        <v>63.212084989546064</v>
      </c>
      <c r="S10" s="49">
        <v>65.718143744997974</v>
      </c>
    </row>
    <row r="11" spans="1:19" s="7" customFormat="1" ht="13" x14ac:dyDescent="0.25">
      <c r="A11" s="53" t="s">
        <v>220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19" s="7" customFormat="1" x14ac:dyDescent="0.25">
      <c r="A12" s="48" t="s">
        <v>221</v>
      </c>
      <c r="B12" s="49">
        <v>100</v>
      </c>
      <c r="C12" s="49">
        <v>100.16708114838892</v>
      </c>
      <c r="D12" s="49">
        <v>103.62420973632283</v>
      </c>
      <c r="E12" s="49">
        <v>102.87879255480462</v>
      </c>
      <c r="F12" s="49">
        <v>99.697339919755748</v>
      </c>
      <c r="G12" s="49">
        <v>104.27525729036047</v>
      </c>
      <c r="H12" s="49">
        <v>97.81263982750761</v>
      </c>
      <c r="I12" s="49">
        <v>105.08893173690731</v>
      </c>
      <c r="J12" s="49">
        <v>100.02175600013825</v>
      </c>
      <c r="K12" s="49">
        <v>104.12936937923369</v>
      </c>
      <c r="L12" s="49">
        <v>99.770205201499223</v>
      </c>
      <c r="M12" s="49">
        <v>107.34210037248263</v>
      </c>
      <c r="N12" s="49">
        <v>100.74915636188832</v>
      </c>
      <c r="O12" s="49">
        <v>103.48037193738534</v>
      </c>
      <c r="P12" s="49">
        <v>102.12841566539191</v>
      </c>
      <c r="Q12" s="49">
        <v>100.03304865075077</v>
      </c>
      <c r="R12" s="49">
        <v>98.448685224053804</v>
      </c>
      <c r="S12" s="49">
        <v>96.109743882252772</v>
      </c>
    </row>
    <row r="13" spans="1:19" s="7" customFormat="1" x14ac:dyDescent="0.25">
      <c r="A13" s="51" t="s">
        <v>222</v>
      </c>
      <c r="B13" s="38">
        <v>100</v>
      </c>
      <c r="C13" s="38">
        <v>101.03876758399366</v>
      </c>
      <c r="D13" s="38">
        <v>102.84297599944712</v>
      </c>
      <c r="E13" s="38">
        <v>104.23628374241548</v>
      </c>
      <c r="F13" s="38">
        <v>99.375821401276312</v>
      </c>
      <c r="G13" s="38">
        <v>105.23870744913246</v>
      </c>
      <c r="H13" s="38">
        <v>99.004310040195563</v>
      </c>
      <c r="I13" s="38">
        <v>107.33573422266844</v>
      </c>
      <c r="J13" s="38">
        <v>102.72746376848021</v>
      </c>
      <c r="K13" s="38">
        <v>100.94255098656488</v>
      </c>
      <c r="L13" s="38">
        <v>99.386885235310146</v>
      </c>
      <c r="M13" s="38">
        <v>105.33875313004995</v>
      </c>
      <c r="N13" s="38">
        <v>103.17158760616832</v>
      </c>
      <c r="O13" s="38">
        <v>105.00312013370387</v>
      </c>
      <c r="P13" s="38">
        <v>101.34574506242885</v>
      </c>
      <c r="Q13" s="38">
        <v>100.4082250505533</v>
      </c>
      <c r="R13" s="38">
        <v>98.691745567638378</v>
      </c>
      <c r="S13" s="38">
        <v>100.11154509183665</v>
      </c>
    </row>
    <row r="14" spans="1:19" s="7" customFormat="1" x14ac:dyDescent="0.25">
      <c r="A14" s="48" t="s">
        <v>223</v>
      </c>
      <c r="B14" s="49">
        <v>100</v>
      </c>
      <c r="C14" s="49">
        <v>100.79477270264039</v>
      </c>
      <c r="D14" s="49">
        <v>105.27351278522418</v>
      </c>
      <c r="E14" s="49">
        <v>104.05568636235849</v>
      </c>
      <c r="F14" s="49">
        <v>103.2339170775717</v>
      </c>
      <c r="G14" s="49">
        <v>105.15841338502578</v>
      </c>
      <c r="H14" s="49">
        <v>101.91509063472719</v>
      </c>
      <c r="I14" s="49">
        <v>104.6209029504674</v>
      </c>
      <c r="J14" s="49">
        <v>100.91395503322556</v>
      </c>
      <c r="K14" s="49">
        <v>108.1187999311522</v>
      </c>
      <c r="L14" s="49">
        <v>102.55527962688417</v>
      </c>
      <c r="M14" s="49">
        <v>104.80975054703408</v>
      </c>
      <c r="N14" s="49">
        <v>100.50897946810721</v>
      </c>
      <c r="O14" s="49">
        <v>106.03531982553528</v>
      </c>
      <c r="P14" s="38">
        <v>100.97625808515534</v>
      </c>
      <c r="Q14" s="38">
        <v>98.869681555690093</v>
      </c>
      <c r="R14" s="49">
        <v>100.31496439809104</v>
      </c>
      <c r="S14" s="49">
        <v>92.233123950286029</v>
      </c>
    </row>
    <row r="15" spans="1:19" s="7" customFormat="1" x14ac:dyDescent="0.25">
      <c r="A15" s="111" t="s">
        <v>224</v>
      </c>
      <c r="B15" s="49">
        <v>100</v>
      </c>
      <c r="C15" s="128">
        <v>100.46266076900797</v>
      </c>
      <c r="D15" s="49">
        <v>104.38014030040262</v>
      </c>
      <c r="E15" s="49">
        <v>103.38317561518484</v>
      </c>
      <c r="F15" s="49">
        <v>101.14412148431683</v>
      </c>
      <c r="G15" s="49">
        <v>104.56964265524891</v>
      </c>
      <c r="H15" s="49">
        <v>99.863865231117401</v>
      </c>
      <c r="I15" s="49">
        <v>104.85491734368733</v>
      </c>
      <c r="J15" s="49">
        <v>100.43068055696995</v>
      </c>
      <c r="K15" s="49">
        <v>106.12408465519293</v>
      </c>
      <c r="L15" s="49">
        <v>101.04669764646734</v>
      </c>
      <c r="M15" s="49">
        <v>106.07592545975835</v>
      </c>
      <c r="N15" s="49">
        <v>100.63998504653327</v>
      </c>
      <c r="O15" s="49">
        <v>104.7578458814603</v>
      </c>
      <c r="P15" s="49">
        <v>101.55233687527362</v>
      </c>
      <c r="Q15" s="49">
        <v>99.504245425723184</v>
      </c>
      <c r="R15" s="49">
        <v>99.332712201229327</v>
      </c>
      <c r="S15" s="49">
        <v>94.263734390840042</v>
      </c>
    </row>
    <row r="16" spans="1:19" s="7" customFormat="1" x14ac:dyDescent="0.25">
      <c r="A16" s="48" t="s">
        <v>225</v>
      </c>
      <c r="B16" s="49">
        <v>66.243111205308352</v>
      </c>
      <c r="C16" s="49">
        <v>60.592692244536451</v>
      </c>
      <c r="D16" s="128">
        <v>59.634381872361367</v>
      </c>
      <c r="E16" s="128">
        <v>62.440520404695398</v>
      </c>
      <c r="F16" s="128">
        <v>58.846882642061203</v>
      </c>
      <c r="G16" s="128">
        <v>62.79226756978521</v>
      </c>
      <c r="H16" s="128">
        <v>64.945064331353123</v>
      </c>
      <c r="I16" s="49">
        <v>55.733687347160725</v>
      </c>
      <c r="J16" s="128">
        <v>59.326522534038389</v>
      </c>
      <c r="K16" s="128">
        <v>53.08137860900564</v>
      </c>
      <c r="L16" s="128">
        <v>65.031336647609436</v>
      </c>
      <c r="M16" s="49">
        <v>57.278778660015362</v>
      </c>
      <c r="N16" s="128">
        <v>63.478417288665455</v>
      </c>
      <c r="O16" s="49">
        <v>67.351415423431121</v>
      </c>
      <c r="P16" s="128">
        <v>61.501330317765955</v>
      </c>
      <c r="Q16" s="128">
        <v>60.311896634936495</v>
      </c>
      <c r="R16" s="49">
        <v>58.946088640453972</v>
      </c>
      <c r="S16" s="49">
        <v>56.088767900588934</v>
      </c>
    </row>
    <row r="17" spans="1:21" s="7" customFormat="1" ht="13" x14ac:dyDescent="0.25">
      <c r="A17" s="53" t="s">
        <v>226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</row>
    <row r="18" spans="1:21" s="7" customFormat="1" x14ac:dyDescent="0.25">
      <c r="A18" s="48" t="s">
        <v>227</v>
      </c>
      <c r="B18" s="49">
        <v>100</v>
      </c>
      <c r="C18" s="49">
        <v>99.909796176087951</v>
      </c>
      <c r="D18" s="49">
        <v>103.08325925704628</v>
      </c>
      <c r="E18" s="49">
        <v>104.04227657547514</v>
      </c>
      <c r="F18" s="49">
        <v>106.54047864269496</v>
      </c>
      <c r="G18" s="49">
        <v>107.50366757788925</v>
      </c>
      <c r="H18" s="49">
        <v>102.2606027041105</v>
      </c>
      <c r="I18" s="49">
        <v>112.82958382200624</v>
      </c>
      <c r="J18" s="49">
        <v>95.636684903629202</v>
      </c>
      <c r="K18" s="49">
        <v>125.33835381419796</v>
      </c>
      <c r="L18" s="49">
        <v>97.854832994638087</v>
      </c>
      <c r="M18" s="49">
        <v>114.82359778390851</v>
      </c>
      <c r="N18" s="49">
        <v>98.233676747850126</v>
      </c>
      <c r="O18" s="49">
        <v>92.787052146852659</v>
      </c>
      <c r="P18" s="49">
        <v>110.16638963416565</v>
      </c>
      <c r="Q18" s="49">
        <v>92.302356289302253</v>
      </c>
      <c r="R18" s="49">
        <v>90.542952382954311</v>
      </c>
      <c r="S18" s="49">
        <v>89.363296502775867</v>
      </c>
    </row>
    <row r="19" spans="1:21" s="7" customFormat="1" x14ac:dyDescent="0.25">
      <c r="A19" s="48" t="s">
        <v>228</v>
      </c>
      <c r="B19" s="49">
        <v>100</v>
      </c>
      <c r="C19" s="49">
        <v>100.43874766033476</v>
      </c>
      <c r="D19" s="49">
        <v>103.69096634415314</v>
      </c>
      <c r="E19" s="49">
        <v>103.59392089457538</v>
      </c>
      <c r="F19" s="49">
        <v>104.00863089120733</v>
      </c>
      <c r="G19" s="49">
        <v>104.85286008290343</v>
      </c>
      <c r="H19" s="49">
        <v>101.70343308110718</v>
      </c>
      <c r="I19" s="49">
        <v>105.54844014463559</v>
      </c>
      <c r="J19" s="49">
        <v>100.7162876696742</v>
      </c>
      <c r="K19" s="49">
        <v>113.10723684958064</v>
      </c>
      <c r="L19" s="49">
        <v>104.54463928142523</v>
      </c>
      <c r="M19" s="49">
        <v>110.07265237394769</v>
      </c>
      <c r="N19" s="49">
        <v>100.92013203434583</v>
      </c>
      <c r="O19" s="49">
        <v>98.180039831800528</v>
      </c>
      <c r="P19" s="49">
        <v>106.18802183869123</v>
      </c>
      <c r="Q19" s="49">
        <v>94.741239024659038</v>
      </c>
      <c r="R19" s="49">
        <v>93.195539184014407</v>
      </c>
      <c r="S19" s="49">
        <v>94.260604619467145</v>
      </c>
    </row>
    <row r="20" spans="1:21" s="7" customFormat="1" x14ac:dyDescent="0.25">
      <c r="A20" s="48" t="s">
        <v>229</v>
      </c>
      <c r="B20" s="49">
        <v>100</v>
      </c>
      <c r="C20" s="49">
        <v>101.017936320007</v>
      </c>
      <c r="D20" s="49">
        <v>100.76878750695602</v>
      </c>
      <c r="E20" s="49">
        <v>95.995894290738619</v>
      </c>
      <c r="F20" s="49">
        <v>101.8602004126469</v>
      </c>
      <c r="G20" s="49">
        <v>98.333774212580565</v>
      </c>
      <c r="H20" s="49">
        <v>100.25345184116436</v>
      </c>
      <c r="I20" s="49">
        <v>103.12665031734809</v>
      </c>
      <c r="J20" s="49">
        <v>100.03228554196481</v>
      </c>
      <c r="K20" s="49">
        <v>98.717596195180022</v>
      </c>
      <c r="L20" s="49">
        <v>104.71781702484303</v>
      </c>
      <c r="M20" s="49">
        <v>107.66537065454729</v>
      </c>
      <c r="N20" s="49">
        <v>102.54474429148492</v>
      </c>
      <c r="O20" s="49">
        <v>106.66149157155986</v>
      </c>
      <c r="P20" s="49">
        <v>104.82087514588125</v>
      </c>
      <c r="Q20" s="49">
        <v>101.61361527968141</v>
      </c>
      <c r="R20" s="49">
        <v>106.97404979556092</v>
      </c>
      <c r="S20" s="49">
        <v>97.294559339740786</v>
      </c>
    </row>
    <row r="21" spans="1:21" s="7" customFormat="1" x14ac:dyDescent="0.25">
      <c r="A21" s="48" t="s">
        <v>230</v>
      </c>
      <c r="B21" s="49">
        <v>100</v>
      </c>
      <c r="C21" s="49">
        <v>98.920547421206621</v>
      </c>
      <c r="D21" s="49">
        <v>99.840078919898829</v>
      </c>
      <c r="E21" s="49">
        <v>98.192427144934214</v>
      </c>
      <c r="F21" s="49">
        <v>103.185246065508</v>
      </c>
      <c r="G21" s="49">
        <v>96.628504210665767</v>
      </c>
      <c r="H21" s="49">
        <v>95.567853043986645</v>
      </c>
      <c r="I21" s="49">
        <v>100.66841071001717</v>
      </c>
      <c r="J21" s="49">
        <v>98.887746361711677</v>
      </c>
      <c r="K21" s="49">
        <v>105.06970282405896</v>
      </c>
      <c r="L21" s="49">
        <v>101.28259854005167</v>
      </c>
      <c r="M21" s="49">
        <v>111.09828421294844</v>
      </c>
      <c r="N21" s="49">
        <v>95.816938120698737</v>
      </c>
      <c r="O21" s="49">
        <v>104.03695152044278</v>
      </c>
      <c r="P21" s="49">
        <v>104.55380558767214</v>
      </c>
      <c r="Q21" s="49">
        <v>96.130021268549612</v>
      </c>
      <c r="R21" s="49">
        <v>103.11673140481791</v>
      </c>
      <c r="S21" s="49">
        <v>92.252388425929936</v>
      </c>
    </row>
    <row r="22" spans="1:21" s="7" customFormat="1" x14ac:dyDescent="0.25">
      <c r="A22" s="48" t="s">
        <v>231</v>
      </c>
      <c r="B22" s="49">
        <v>100</v>
      </c>
      <c r="C22" s="49">
        <v>98.273788648482366</v>
      </c>
      <c r="D22" s="49">
        <v>94.313630530889029</v>
      </c>
      <c r="E22" s="49">
        <v>96.369010763895417</v>
      </c>
      <c r="F22" s="49">
        <v>100.01117424873925</v>
      </c>
      <c r="G22" s="49">
        <v>100.95661949378308</v>
      </c>
      <c r="H22" s="49">
        <v>99.686533148661098</v>
      </c>
      <c r="I22" s="49">
        <v>99.621717564492315</v>
      </c>
      <c r="J22" s="49">
        <v>94.649318363948581</v>
      </c>
      <c r="K22" s="49">
        <v>112.06968650212485</v>
      </c>
      <c r="L22" s="49">
        <v>100.3576978204964</v>
      </c>
      <c r="M22" s="49">
        <v>112.71255493499477</v>
      </c>
      <c r="N22" s="49">
        <v>98.449189011936241</v>
      </c>
      <c r="O22" s="49">
        <v>100.46726938782676</v>
      </c>
      <c r="P22" s="49">
        <v>105.17497635572502</v>
      </c>
      <c r="Q22" s="49">
        <v>98.200070163257806</v>
      </c>
      <c r="R22" s="49">
        <v>99.837779569434943</v>
      </c>
      <c r="S22" s="49">
        <v>94.260801522288673</v>
      </c>
    </row>
    <row r="23" spans="1:21" s="7" customFormat="1" ht="13" x14ac:dyDescent="0.25">
      <c r="A23" s="129" t="s">
        <v>232</v>
      </c>
      <c r="B23" s="49"/>
      <c r="C23" s="49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4" spans="1:21" s="7" customFormat="1" x14ac:dyDescent="0.25">
      <c r="A24" s="48" t="s">
        <v>233</v>
      </c>
      <c r="B24" s="49">
        <v>100</v>
      </c>
      <c r="C24" s="49">
        <v>99.238583600318989</v>
      </c>
      <c r="D24" s="49">
        <v>104.7018874808839</v>
      </c>
      <c r="E24" s="49">
        <v>108.43735454317007</v>
      </c>
      <c r="F24" s="49">
        <v>98.585871863668274</v>
      </c>
      <c r="G24" s="49">
        <v>106.63511902079208</v>
      </c>
      <c r="H24" s="49">
        <v>97.809809110566491</v>
      </c>
      <c r="I24" s="49">
        <v>105.56578595461997</v>
      </c>
      <c r="J24" s="49">
        <v>100.31535089317047</v>
      </c>
      <c r="K24" s="49">
        <v>102.51176135871664</v>
      </c>
      <c r="L24" s="49">
        <v>96.164595263662761</v>
      </c>
      <c r="M24" s="49">
        <v>105.00040455104178</v>
      </c>
      <c r="N24" s="49">
        <v>101.98169093240736</v>
      </c>
      <c r="O24" s="49">
        <v>90.942810254061456</v>
      </c>
      <c r="P24" s="49">
        <v>97.471459789897182</v>
      </c>
      <c r="Q24" s="49">
        <v>99.769347137734542</v>
      </c>
      <c r="R24" s="49">
        <v>90.220817413946747</v>
      </c>
      <c r="S24" s="49">
        <v>96.790173263449589</v>
      </c>
    </row>
    <row r="25" spans="1:21" s="145" customFormat="1" x14ac:dyDescent="0.25">
      <c r="A25" s="111" t="s">
        <v>286</v>
      </c>
      <c r="B25" s="126">
        <f>65+6.751636853557</f>
        <v>71.751636853557002</v>
      </c>
      <c r="C25" s="126">
        <f>65+7.92949379379475</f>
        <v>72.929493793794748</v>
      </c>
      <c r="D25" s="126">
        <f>65+6.17570785947039</f>
        <v>71.175707859470393</v>
      </c>
      <c r="E25" s="126">
        <f>65+6.05719056277466</f>
        <v>71.057190562774664</v>
      </c>
      <c r="F25" s="126">
        <f>65+7.14991975251831</f>
        <v>72.149919752518315</v>
      </c>
      <c r="G25" s="126">
        <f>65+7.05945202054369</f>
        <v>72.059452020543688</v>
      </c>
      <c r="H25" s="126">
        <f>65+7.65087455444122</f>
        <v>72.650874554441216</v>
      </c>
      <c r="I25" s="126">
        <f>65+6.85123942149556</f>
        <v>71.851239421495563</v>
      </c>
      <c r="J25" s="126">
        <f>65+7.44855979035364</f>
        <v>72.448559790353642</v>
      </c>
      <c r="K25" s="126">
        <f>65+5.0083284926455</f>
        <v>70.008328492645504</v>
      </c>
      <c r="L25" s="126">
        <f>65+6.82894703660703</f>
        <v>71.828947036607033</v>
      </c>
      <c r="M25" s="126">
        <f>65+7.50873942149555</f>
        <v>72.508739421495548</v>
      </c>
      <c r="N25" s="126">
        <f>65+7.50316475635719</f>
        <v>72.503164756357194</v>
      </c>
      <c r="O25" s="126">
        <f>65+9.69253603318298</f>
        <v>74.692536033182975</v>
      </c>
      <c r="P25" s="126">
        <f>65+8.09087445405198</f>
        <v>73.090874454051985</v>
      </c>
      <c r="Q25" s="126">
        <f>65+6.91649809759265</f>
        <v>71.916498097592651</v>
      </c>
      <c r="R25" s="126">
        <f>65+9.82132603318298</f>
        <v>74.821326033182984</v>
      </c>
      <c r="S25" s="126">
        <f>65+9.78098929884719</f>
        <v>74.780989298847189</v>
      </c>
    </row>
    <row r="26" spans="1:21" s="7" customFormat="1" x14ac:dyDescent="0.25">
      <c r="A26" s="48" t="s">
        <v>235</v>
      </c>
      <c r="B26" s="49">
        <v>100</v>
      </c>
      <c r="C26" s="49">
        <v>105.58656661459578</v>
      </c>
      <c r="D26" s="49">
        <v>104.00920379499254</v>
      </c>
      <c r="E26" s="49">
        <v>103.91757392592507</v>
      </c>
      <c r="F26" s="49">
        <v>105.20540196446369</v>
      </c>
      <c r="G26" s="49">
        <v>106.86397029720271</v>
      </c>
      <c r="H26" s="49">
        <v>103.34408432554343</v>
      </c>
      <c r="I26" s="49">
        <v>125.11718116715768</v>
      </c>
      <c r="J26" s="49">
        <v>107.49608079967865</v>
      </c>
      <c r="K26" s="49">
        <v>109.73146098696583</v>
      </c>
      <c r="L26" s="49">
        <v>113.60763400954197</v>
      </c>
      <c r="M26" s="49">
        <v>105.61249196722986</v>
      </c>
      <c r="N26" s="49">
        <v>109.72419158488671</v>
      </c>
      <c r="O26" s="49">
        <v>109.12461009224539</v>
      </c>
      <c r="P26" s="49">
        <v>108.31975231223265</v>
      </c>
      <c r="Q26" s="49">
        <v>106.62054568673116</v>
      </c>
      <c r="R26" s="49">
        <v>114.18294826686044</v>
      </c>
      <c r="S26" s="49">
        <v>99.745837062020499</v>
      </c>
    </row>
    <row r="27" spans="1:21" s="7" customFormat="1" x14ac:dyDescent="0.25">
      <c r="A27" s="111" t="s">
        <v>307</v>
      </c>
      <c r="B27" s="126">
        <f>65+7.7150581746045</f>
        <v>72.715058174604494</v>
      </c>
      <c r="C27" s="126">
        <f>65+8.1156096325934</f>
        <v>73.115609632593404</v>
      </c>
      <c r="D27" s="126">
        <f>65+8.82324693318968</f>
        <v>73.823246933189679</v>
      </c>
      <c r="E27" s="126">
        <f>65+7.64490868493375</f>
        <v>72.644908684933753</v>
      </c>
      <c r="F27" s="126">
        <f>65+7.64140138985852</f>
        <v>72.641401389858515</v>
      </c>
      <c r="G27" s="126">
        <f>65+7.28738919962065</f>
        <v>72.287389199620648</v>
      </c>
      <c r="H27" s="126">
        <f>65+7.12622436224011</f>
        <v>72.126224362240109</v>
      </c>
      <c r="I27" s="126">
        <f>65+3.67575487859449</f>
        <v>68.675754878594489</v>
      </c>
      <c r="J27" s="126">
        <f>65+7.82863516769818</f>
        <v>72.828635167698181</v>
      </c>
      <c r="K27" s="126">
        <f>65+6.99851768415006</f>
        <v>71.998517684150059</v>
      </c>
      <c r="L27" s="126">
        <f>65+5.50974275243014</f>
        <v>70.509742752430142</v>
      </c>
      <c r="M27" s="126">
        <f>65+6.98486219117831</f>
        <v>71.984862191178308</v>
      </c>
      <c r="N27" s="126">
        <f>65+7.24125096577072</f>
        <v>72.241250965770718</v>
      </c>
      <c r="O27" s="126">
        <f>65+8.6536828834254</f>
        <v>73.653682883425404</v>
      </c>
      <c r="P27" s="126">
        <f>65+8.45141148885124</f>
        <v>73.451411488851235</v>
      </c>
      <c r="Q27" s="126">
        <f>65+7.10578626685984</f>
        <v>72.105786266859837</v>
      </c>
      <c r="R27" s="126">
        <f>65+7.35143407583867</f>
        <v>72.351434075838668</v>
      </c>
      <c r="S27" s="126">
        <f>65+9.29643225050687</f>
        <v>74.296432250506868</v>
      </c>
      <c r="T27" s="144"/>
      <c r="U27" s="144"/>
    </row>
    <row r="28" spans="1:21" s="7" customFormat="1" x14ac:dyDescent="0.25">
      <c r="A28" s="48" t="s">
        <v>237</v>
      </c>
      <c r="B28" s="49">
        <v>100</v>
      </c>
      <c r="C28" s="49">
        <v>105.66811513222297</v>
      </c>
      <c r="D28" s="49">
        <v>113.30422418458308</v>
      </c>
      <c r="E28" s="49">
        <v>102.80308826455713</v>
      </c>
      <c r="F28" s="49">
        <v>103.45470818039702</v>
      </c>
      <c r="G28" s="49">
        <v>104.29594856547008</v>
      </c>
      <c r="H28" s="49">
        <v>99.096989522612262</v>
      </c>
      <c r="I28" s="49">
        <v>100.21600707392662</v>
      </c>
      <c r="J28" s="49">
        <v>101.98724483397737</v>
      </c>
      <c r="K28" s="49">
        <v>114.85266671859198</v>
      </c>
      <c r="L28" s="49">
        <v>95.947832064408416</v>
      </c>
      <c r="M28" s="49">
        <v>128.06482650713718</v>
      </c>
      <c r="N28" s="49">
        <v>98.715755767192007</v>
      </c>
      <c r="O28" s="49">
        <v>104.09305520893506</v>
      </c>
      <c r="P28" s="49">
        <v>110.51424181445451</v>
      </c>
      <c r="Q28" s="49">
        <v>103.28907910831204</v>
      </c>
      <c r="R28" s="49">
        <v>106.10723928077452</v>
      </c>
      <c r="S28" s="49">
        <v>102.18290772635625</v>
      </c>
    </row>
    <row r="29" spans="1:21" s="7" customFormat="1" x14ac:dyDescent="0.25">
      <c r="A29" s="48" t="s">
        <v>238</v>
      </c>
      <c r="B29" s="49">
        <v>100</v>
      </c>
      <c r="C29" s="49">
        <v>95.281102695544689</v>
      </c>
      <c r="D29" s="49">
        <v>96.522513081210562</v>
      </c>
      <c r="E29" s="49">
        <v>93.40085207353377</v>
      </c>
      <c r="F29" s="49">
        <v>95.96401231706345</v>
      </c>
      <c r="G29" s="49">
        <v>99.875154369022141</v>
      </c>
      <c r="H29" s="49">
        <v>93.488773942432502</v>
      </c>
      <c r="I29" s="49">
        <v>90.842281964285078</v>
      </c>
      <c r="J29" s="49">
        <v>93.133216570369214</v>
      </c>
      <c r="K29" s="49">
        <v>97.06978106443168</v>
      </c>
      <c r="L29" s="49">
        <v>99.687283284630226</v>
      </c>
      <c r="M29" s="49">
        <v>99.305744817286367</v>
      </c>
      <c r="N29" s="49">
        <v>94.178585355059951</v>
      </c>
      <c r="O29" s="49">
        <v>108.42405983266683</v>
      </c>
      <c r="P29" s="49">
        <v>102.58621539661631</v>
      </c>
      <c r="Q29" s="49">
        <v>93.830397848809085</v>
      </c>
      <c r="R29" s="49">
        <v>97.079773603569691</v>
      </c>
      <c r="S29" s="49">
        <v>88.608488075905228</v>
      </c>
    </row>
    <row r="30" spans="1:21" s="7" customFormat="1" ht="13" x14ac:dyDescent="0.25">
      <c r="A30" s="54" t="s">
        <v>239</v>
      </c>
      <c r="B30" s="126"/>
      <c r="C30" s="126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spans="1:21" s="7" customFormat="1" x14ac:dyDescent="0.25">
      <c r="A31" s="47" t="s">
        <v>240</v>
      </c>
      <c r="B31" s="126">
        <v>7.4658701251157149</v>
      </c>
      <c r="C31" s="126">
        <v>7.4845681162049171</v>
      </c>
      <c r="D31" s="133">
        <v>7.5580179096910207</v>
      </c>
      <c r="E31" s="126">
        <v>7.3771068203084189</v>
      </c>
      <c r="F31" s="126">
        <v>7.4319643295202527</v>
      </c>
      <c r="G31" s="126">
        <v>7.4474385997572847</v>
      </c>
      <c r="H31" s="126">
        <v>7.5269256862115403</v>
      </c>
      <c r="I31" s="133" t="s">
        <v>18</v>
      </c>
      <c r="J31" s="126">
        <v>7.2521421729052609</v>
      </c>
      <c r="K31" s="133" t="s">
        <v>18</v>
      </c>
      <c r="L31" s="126">
        <v>7.307596956755007</v>
      </c>
      <c r="M31" s="133" t="s">
        <v>18</v>
      </c>
      <c r="N31" s="126">
        <v>7.3592931985488432</v>
      </c>
      <c r="O31" s="133" t="s">
        <v>18</v>
      </c>
      <c r="P31" s="126">
        <v>7.6935923528782073</v>
      </c>
      <c r="Q31" s="126">
        <v>7.3874740631498597</v>
      </c>
      <c r="R31" s="126">
        <v>7.4016910575810666</v>
      </c>
      <c r="S31" s="133">
        <v>7.3500748705592507</v>
      </c>
    </row>
    <row r="32" spans="1:21" s="7" customFormat="1" ht="13" x14ac:dyDescent="0.25">
      <c r="A32" s="54" t="s">
        <v>241</v>
      </c>
      <c r="B32" s="126"/>
      <c r="C32" s="126"/>
      <c r="D32" s="146"/>
      <c r="E32" s="126"/>
      <c r="F32" s="126"/>
      <c r="G32" s="126"/>
      <c r="H32" s="126"/>
      <c r="I32" s="146"/>
      <c r="J32" s="126"/>
      <c r="K32" s="126"/>
      <c r="L32" s="126"/>
      <c r="M32" s="146"/>
      <c r="N32" s="126"/>
      <c r="O32" s="146"/>
      <c r="P32" s="126"/>
      <c r="Q32" s="126"/>
      <c r="R32" s="126"/>
      <c r="S32" s="126"/>
    </row>
    <row r="33" spans="1:19" s="7" customFormat="1" x14ac:dyDescent="0.25">
      <c r="A33" s="47" t="s">
        <v>242</v>
      </c>
      <c r="B33" s="133">
        <v>5.8125050399999987</v>
      </c>
      <c r="C33" s="60">
        <v>5.1499999999999995</v>
      </c>
      <c r="D33" s="126">
        <v>1.9</v>
      </c>
      <c r="E33" s="126">
        <v>6.5</v>
      </c>
      <c r="F33" s="126">
        <v>6.2</v>
      </c>
      <c r="G33" s="133">
        <v>5.7</v>
      </c>
      <c r="H33" s="126">
        <v>8.1</v>
      </c>
      <c r="I33" s="126">
        <v>7.4</v>
      </c>
      <c r="J33" s="133">
        <v>2.8</v>
      </c>
      <c r="K33" s="126">
        <v>7.9</v>
      </c>
      <c r="L33" s="133">
        <v>6.3</v>
      </c>
      <c r="M33" s="126">
        <v>5.3</v>
      </c>
      <c r="N33" s="126">
        <v>3.9</v>
      </c>
      <c r="O33" s="126">
        <v>8.8000000000000007</v>
      </c>
      <c r="P33" s="126">
        <v>4.8</v>
      </c>
      <c r="Q33" s="133">
        <v>6.2</v>
      </c>
      <c r="R33" s="126">
        <v>2.9</v>
      </c>
      <c r="S33" s="126">
        <v>6.7</v>
      </c>
    </row>
    <row r="34" spans="1:19" s="7" customFormat="1" x14ac:dyDescent="0.25">
      <c r="A34" s="47" t="s">
        <v>243</v>
      </c>
      <c r="B34" s="133">
        <v>5.3193624319999993</v>
      </c>
      <c r="C34" s="60">
        <v>6.1666666666666652</v>
      </c>
      <c r="D34" s="126">
        <v>6.5</v>
      </c>
      <c r="E34" s="126">
        <v>4.7</v>
      </c>
      <c r="F34" s="133">
        <v>6</v>
      </c>
      <c r="G34" s="133">
        <v>7.3</v>
      </c>
      <c r="H34" s="133">
        <v>5.6</v>
      </c>
      <c r="I34" s="133">
        <v>7</v>
      </c>
      <c r="J34" s="133">
        <v>6.6</v>
      </c>
      <c r="K34" s="126">
        <v>5.3</v>
      </c>
      <c r="L34" s="133">
        <v>5.5</v>
      </c>
      <c r="M34" s="133">
        <v>5.9</v>
      </c>
      <c r="N34" s="126">
        <v>6.5</v>
      </c>
      <c r="O34" s="133">
        <v>6.2</v>
      </c>
      <c r="P34" s="133">
        <v>6.8</v>
      </c>
      <c r="Q34" s="133">
        <v>5.8</v>
      </c>
      <c r="R34" s="126">
        <v>6.6</v>
      </c>
      <c r="S34" s="126">
        <v>6.8</v>
      </c>
    </row>
    <row r="35" spans="1:19" s="7" customFormat="1" x14ac:dyDescent="0.25">
      <c r="A35" s="47" t="s">
        <v>244</v>
      </c>
      <c r="B35" s="133">
        <v>6.6860034999999991</v>
      </c>
      <c r="C35" s="60">
        <v>6.7833333333333341</v>
      </c>
      <c r="D35" s="126">
        <v>7.2</v>
      </c>
      <c r="E35" s="126">
        <v>7.6</v>
      </c>
      <c r="F35" s="133">
        <v>6.3</v>
      </c>
      <c r="G35" s="133">
        <v>7.2</v>
      </c>
      <c r="H35" s="133">
        <v>7.9</v>
      </c>
      <c r="I35" s="133" t="s">
        <v>18</v>
      </c>
      <c r="J35" s="133">
        <v>6.7</v>
      </c>
      <c r="K35" s="133" t="s">
        <v>18</v>
      </c>
      <c r="L35" s="133">
        <v>6.5</v>
      </c>
      <c r="M35" s="133" t="s">
        <v>18</v>
      </c>
      <c r="N35" s="126">
        <v>7.3</v>
      </c>
      <c r="O35" s="133" t="s">
        <v>18</v>
      </c>
      <c r="P35" s="133">
        <v>5.3</v>
      </c>
      <c r="Q35" s="133">
        <v>6.2</v>
      </c>
      <c r="R35" s="126">
        <v>6.9</v>
      </c>
      <c r="S35" s="126">
        <v>5.8</v>
      </c>
    </row>
    <row r="36" spans="1:19" s="7" customFormat="1" ht="13" x14ac:dyDescent="0.25">
      <c r="A36" s="54" t="s">
        <v>245</v>
      </c>
      <c r="B36" s="133"/>
      <c r="C36" s="60"/>
      <c r="D36" s="126"/>
      <c r="E36" s="126"/>
      <c r="F36" s="133"/>
      <c r="G36" s="133"/>
      <c r="H36" s="133"/>
      <c r="I36" s="133"/>
      <c r="J36" s="133"/>
      <c r="K36" s="133"/>
      <c r="L36" s="133"/>
      <c r="M36" s="133"/>
      <c r="N36" s="126"/>
      <c r="O36" s="133"/>
      <c r="P36" s="133"/>
      <c r="Q36" s="133"/>
      <c r="R36" s="126"/>
      <c r="S36" s="126"/>
    </row>
    <row r="37" spans="1:19" s="7" customFormat="1" x14ac:dyDescent="0.25">
      <c r="A37" s="47" t="s">
        <v>246</v>
      </c>
      <c r="B37" s="134" t="s">
        <v>18</v>
      </c>
      <c r="C37" s="134" t="s">
        <v>18</v>
      </c>
      <c r="D37" s="134">
        <v>2014</v>
      </c>
      <c r="E37" s="134">
        <v>2011</v>
      </c>
      <c r="F37" s="134">
        <v>2022</v>
      </c>
      <c r="G37" s="134">
        <v>2023</v>
      </c>
      <c r="H37" s="134">
        <v>2017</v>
      </c>
      <c r="I37" s="134">
        <v>2026</v>
      </c>
      <c r="J37" s="134">
        <v>2021</v>
      </c>
      <c r="K37" s="134">
        <v>2025</v>
      </c>
      <c r="L37" s="134">
        <v>2021</v>
      </c>
      <c r="M37" s="134">
        <v>2026</v>
      </c>
      <c r="N37" s="134">
        <v>2020</v>
      </c>
      <c r="O37" s="134">
        <v>2026</v>
      </c>
      <c r="P37" s="134">
        <v>2017</v>
      </c>
      <c r="Q37" s="134">
        <v>2020</v>
      </c>
      <c r="R37" s="34">
        <v>2005</v>
      </c>
      <c r="S37" s="134">
        <v>2006</v>
      </c>
    </row>
    <row r="38" spans="1:19" s="7" customFormat="1" x14ac:dyDescent="0.25">
      <c r="A38" s="47" t="s">
        <v>247</v>
      </c>
      <c r="B38" s="134" t="s">
        <v>18</v>
      </c>
      <c r="C38" s="134" t="s">
        <v>18</v>
      </c>
      <c r="D38" s="141" t="s">
        <v>148</v>
      </c>
      <c r="E38" s="141" t="s">
        <v>148</v>
      </c>
      <c r="F38" s="141" t="s">
        <v>148</v>
      </c>
      <c r="G38" s="141" t="s">
        <v>148</v>
      </c>
      <c r="H38" s="143" t="s">
        <v>165</v>
      </c>
      <c r="I38" s="141" t="s">
        <v>148</v>
      </c>
      <c r="J38" s="134" t="s">
        <v>151</v>
      </c>
      <c r="K38" s="141" t="s">
        <v>148</v>
      </c>
      <c r="L38" s="134" t="s">
        <v>156</v>
      </c>
      <c r="M38" s="134" t="s">
        <v>154</v>
      </c>
      <c r="N38" s="134" t="s">
        <v>154</v>
      </c>
      <c r="O38" s="134" t="s">
        <v>165</v>
      </c>
      <c r="P38" s="134" t="s">
        <v>151</v>
      </c>
      <c r="Q38" s="134" t="s">
        <v>156</v>
      </c>
      <c r="R38" s="141" t="s">
        <v>148</v>
      </c>
      <c r="S38" s="134" t="s">
        <v>159</v>
      </c>
    </row>
    <row r="39" spans="1:19" s="7" customFormat="1" x14ac:dyDescent="0.25">
      <c r="A39" s="47" t="s">
        <v>248</v>
      </c>
      <c r="B39" s="134" t="s">
        <v>18</v>
      </c>
      <c r="C39" s="134" t="s">
        <v>18</v>
      </c>
      <c r="D39" s="141" t="s">
        <v>249</v>
      </c>
      <c r="E39" s="141" t="s">
        <v>249</v>
      </c>
      <c r="F39" s="141" t="s">
        <v>249</v>
      </c>
      <c r="G39" s="141" t="s">
        <v>249</v>
      </c>
      <c r="H39" s="141" t="s">
        <v>156</v>
      </c>
      <c r="I39" s="141" t="s">
        <v>249</v>
      </c>
      <c r="J39" s="134" t="s">
        <v>267</v>
      </c>
      <c r="K39" s="141" t="s">
        <v>249</v>
      </c>
      <c r="L39" s="134" t="s">
        <v>289</v>
      </c>
      <c r="M39" s="134" t="s">
        <v>308</v>
      </c>
      <c r="N39" s="134" t="s">
        <v>159</v>
      </c>
      <c r="O39" s="134" t="s">
        <v>162</v>
      </c>
      <c r="P39" s="134" t="s">
        <v>267</v>
      </c>
      <c r="Q39" s="134" t="s">
        <v>156</v>
      </c>
      <c r="R39" s="141" t="s">
        <v>249</v>
      </c>
      <c r="S39" s="134" t="s">
        <v>159</v>
      </c>
    </row>
    <row r="40" spans="1:19" s="7" customFormat="1" ht="13" x14ac:dyDescent="0.25">
      <c r="A40" s="53" t="s">
        <v>250</v>
      </c>
      <c r="B40" s="134"/>
      <c r="C40" s="134"/>
      <c r="D40" s="134"/>
      <c r="E40" s="134"/>
      <c r="F40" s="134"/>
      <c r="G40" s="134"/>
      <c r="H40" s="134"/>
      <c r="I40" s="34"/>
      <c r="J40" s="134"/>
      <c r="K40" s="134"/>
      <c r="L40" s="134"/>
      <c r="M40" s="34"/>
      <c r="N40" s="134"/>
      <c r="O40" s="34"/>
      <c r="P40" s="134"/>
      <c r="Q40" s="134"/>
      <c r="R40" s="34"/>
      <c r="S40" s="34"/>
    </row>
    <row r="41" spans="1:19" s="7" customFormat="1" x14ac:dyDescent="0.25">
      <c r="A41" s="47" t="s">
        <v>251</v>
      </c>
      <c r="B41" s="134" t="s">
        <v>18</v>
      </c>
      <c r="C41" s="134" t="s">
        <v>18</v>
      </c>
      <c r="D41" s="134">
        <v>13</v>
      </c>
      <c r="E41" s="134">
        <v>20</v>
      </c>
      <c r="F41" s="134">
        <v>13</v>
      </c>
      <c r="G41" s="134">
        <v>12</v>
      </c>
      <c r="H41" s="134">
        <v>12</v>
      </c>
      <c r="I41" s="34">
        <v>5</v>
      </c>
      <c r="J41" s="134">
        <v>13</v>
      </c>
      <c r="K41" s="134">
        <v>5</v>
      </c>
      <c r="L41" s="134">
        <v>13</v>
      </c>
      <c r="M41" s="34">
        <v>5</v>
      </c>
      <c r="N41" s="134">
        <v>12</v>
      </c>
      <c r="O41" s="34">
        <v>5</v>
      </c>
      <c r="P41" s="134">
        <v>12</v>
      </c>
      <c r="Q41" s="134">
        <v>12</v>
      </c>
      <c r="R41" s="34">
        <v>30</v>
      </c>
      <c r="S41" s="34">
        <v>11</v>
      </c>
    </row>
    <row r="42" spans="1:19" s="7" customFormat="1" x14ac:dyDescent="0.25">
      <c r="A42" s="47" t="s">
        <v>252</v>
      </c>
      <c r="B42" s="134" t="s">
        <v>18</v>
      </c>
      <c r="C42" s="134" t="s">
        <v>18</v>
      </c>
      <c r="D42" s="34">
        <v>12</v>
      </c>
      <c r="E42" s="34">
        <v>17</v>
      </c>
      <c r="F42" s="34">
        <v>12</v>
      </c>
      <c r="G42" s="34">
        <v>9</v>
      </c>
      <c r="H42" s="34">
        <v>11</v>
      </c>
      <c r="I42" s="34">
        <v>5</v>
      </c>
      <c r="J42" s="34">
        <v>12</v>
      </c>
      <c r="K42" s="34">
        <v>5</v>
      </c>
      <c r="L42" s="34">
        <v>12</v>
      </c>
      <c r="M42" s="34">
        <v>5</v>
      </c>
      <c r="N42" s="34">
        <v>11</v>
      </c>
      <c r="O42" s="34">
        <v>5</v>
      </c>
      <c r="P42" s="34">
        <v>11</v>
      </c>
      <c r="Q42" s="34">
        <v>11</v>
      </c>
      <c r="R42" s="34">
        <v>27</v>
      </c>
      <c r="S42" s="34">
        <v>10</v>
      </c>
    </row>
    <row r="43" spans="1:19" s="7" customFormat="1" x14ac:dyDescent="0.25">
      <c r="A43" s="47" t="s">
        <v>253</v>
      </c>
      <c r="B43" s="134" t="s">
        <v>18</v>
      </c>
      <c r="C43" s="134" t="s">
        <v>18</v>
      </c>
      <c r="D43" s="34">
        <v>11</v>
      </c>
      <c r="E43" s="34">
        <v>15</v>
      </c>
      <c r="F43" s="34">
        <v>9</v>
      </c>
      <c r="G43" s="34">
        <v>6</v>
      </c>
      <c r="H43" s="34">
        <v>12</v>
      </c>
      <c r="I43" s="34">
        <v>5</v>
      </c>
      <c r="J43" s="34">
        <v>11</v>
      </c>
      <c r="K43" s="34">
        <v>5</v>
      </c>
      <c r="L43" s="34">
        <v>11</v>
      </c>
      <c r="M43" s="34">
        <v>5</v>
      </c>
      <c r="N43" s="34">
        <v>10</v>
      </c>
      <c r="O43" s="34">
        <v>5</v>
      </c>
      <c r="P43" s="34">
        <v>12</v>
      </c>
      <c r="Q43" s="34">
        <v>10</v>
      </c>
      <c r="R43" s="34">
        <v>27</v>
      </c>
      <c r="S43" s="34">
        <v>10</v>
      </c>
    </row>
    <row r="44" spans="1:19" x14ac:dyDescent="0.25">
      <c r="A44" s="93" t="s">
        <v>254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</row>
    <row r="45" spans="1:19" ht="13" x14ac:dyDescent="0.3">
      <c r="A45" s="94" t="s">
        <v>255</v>
      </c>
      <c r="B45" s="143"/>
      <c r="C45" s="143"/>
      <c r="D45" s="113"/>
      <c r="E45" s="113"/>
      <c r="F45" s="113"/>
      <c r="G45" s="113"/>
      <c r="H45" s="113"/>
      <c r="I45" s="95"/>
      <c r="J45" s="113"/>
      <c r="K45" s="113"/>
      <c r="L45" s="113"/>
      <c r="M45" s="95"/>
      <c r="N45" s="113"/>
      <c r="O45" s="95"/>
      <c r="P45" s="113"/>
      <c r="Q45" s="113"/>
      <c r="R45" s="114"/>
      <c r="S45" s="113"/>
    </row>
    <row r="46" spans="1:19" ht="13" x14ac:dyDescent="0.3">
      <c r="A46" s="94" t="s">
        <v>256</v>
      </c>
      <c r="B46" s="143"/>
      <c r="C46" s="143"/>
      <c r="D46" s="113"/>
      <c r="E46" s="113"/>
      <c r="F46" s="113"/>
      <c r="G46" s="113"/>
      <c r="H46" s="113"/>
      <c r="I46" s="95"/>
      <c r="J46" s="113"/>
      <c r="K46" s="113"/>
      <c r="L46" s="113"/>
      <c r="M46" s="95"/>
      <c r="N46" s="113"/>
      <c r="O46" s="95"/>
      <c r="P46" s="114"/>
      <c r="Q46" s="113"/>
      <c r="R46" s="114"/>
      <c r="S46" s="113"/>
    </row>
    <row r="47" spans="1:19" ht="13" x14ac:dyDescent="0.3">
      <c r="A47" s="94" t="s">
        <v>257</v>
      </c>
      <c r="B47" s="143"/>
      <c r="C47" s="143"/>
      <c r="D47" s="113"/>
      <c r="E47" s="113"/>
      <c r="F47" s="113"/>
      <c r="G47" s="113"/>
      <c r="H47" s="113"/>
      <c r="I47" s="95"/>
      <c r="J47" s="113"/>
      <c r="K47" s="113"/>
      <c r="L47" s="113"/>
      <c r="M47" s="95"/>
      <c r="N47" s="113"/>
      <c r="O47" s="95"/>
      <c r="P47" s="114"/>
      <c r="Q47" s="113"/>
      <c r="R47" s="114"/>
      <c r="S47" s="113"/>
    </row>
    <row r="48" spans="1:19" x14ac:dyDescent="0.25">
      <c r="A48" s="93" t="s">
        <v>258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</row>
    <row r="50" spans="19:19" x14ac:dyDescent="0.25">
      <c r="S50"/>
    </row>
    <row r="51" spans="19:19" x14ac:dyDescent="0.25">
      <c r="S51"/>
    </row>
    <row r="52" spans="19:19" x14ac:dyDescent="0.25">
      <c r="S52"/>
    </row>
    <row r="53" spans="19:19" x14ac:dyDescent="0.25">
      <c r="S53"/>
    </row>
    <row r="56" spans="19:19" x14ac:dyDescent="0.25">
      <c r="S56"/>
    </row>
    <row r="57" spans="19:19" x14ac:dyDescent="0.25">
      <c r="S57"/>
    </row>
    <row r="58" spans="19:19" x14ac:dyDescent="0.25">
      <c r="S58"/>
    </row>
    <row r="59" spans="19:19" x14ac:dyDescent="0.25">
      <c r="S59"/>
    </row>
    <row r="60" spans="19:19" x14ac:dyDescent="0.25">
      <c r="S60"/>
    </row>
    <row r="61" spans="19:19" x14ac:dyDescent="0.25">
      <c r="S61"/>
    </row>
    <row r="62" spans="19:19" x14ac:dyDescent="0.25">
      <c r="S62"/>
    </row>
    <row r="63" spans="19:19" x14ac:dyDescent="0.25">
      <c r="S63"/>
    </row>
    <row r="64" spans="19:19" x14ac:dyDescent="0.25">
      <c r="S64"/>
    </row>
    <row r="65" spans="19:19" x14ac:dyDescent="0.25">
      <c r="S65"/>
    </row>
    <row r="66" spans="19:19" x14ac:dyDescent="0.25">
      <c r="S66"/>
    </row>
    <row r="67" spans="19:19" x14ac:dyDescent="0.25">
      <c r="S67"/>
    </row>
    <row r="68" spans="19:19" x14ac:dyDescent="0.25">
      <c r="S68"/>
    </row>
    <row r="69" spans="19:19" x14ac:dyDescent="0.25">
      <c r="S69"/>
    </row>
  </sheetData>
  <sheetProtection algorithmName="SHA-512" hashValue="95LOx4SyL3zt/fUBppooyXKMw742fjdMrpOue0eni1XqjTIpW2yzR0CiRnx08At3ubQWSeJM2Eb+rWYrhVZiqw==" saltValue="43P60NVPbYl0iqKc1MkB5A==" spinCount="100000" sheet="1" objects="1" scenarios="1"/>
  <sortState xmlns:xlrd2="http://schemas.microsoft.com/office/spreadsheetml/2017/richdata2" columnSort="1" ref="D1:S69">
    <sortCondition ref="D5:S5"/>
  </sortState>
  <conditionalFormatting sqref="D25:S25">
    <cfRule type="cellIs" dxfId="8" priority="18" stopIfTrue="1" operator="greaterThan">
      <formula>"7.5+1.35"</formula>
    </cfRule>
    <cfRule type="cellIs" dxfId="7" priority="26" stopIfTrue="1" operator="greaterThan">
      <formula>"7.5+$Z$37"</formula>
    </cfRule>
  </conditionalFormatting>
  <conditionalFormatting sqref="F25">
    <cfRule type="aboveAverage" priority="25" stopIfTrue="1"/>
  </conditionalFormatting>
  <conditionalFormatting sqref="K25">
    <cfRule type="aboveAverage" priority="5" stopIfTrue="1"/>
    <cfRule type="cellIs" dxfId="6" priority="6" stopIfTrue="1" operator="greaterThan">
      <formula>"7.5+$Z$37"</formula>
    </cfRule>
  </conditionalFormatting>
  <conditionalFormatting sqref="L25">
    <cfRule type="aboveAverage" priority="43" stopIfTrue="1"/>
    <cfRule type="cellIs" dxfId="5" priority="44" stopIfTrue="1" operator="greaterThan">
      <formula>"7.5+$Z$37"</formula>
    </cfRule>
  </conditionalFormatting>
  <conditionalFormatting sqref="N25">
    <cfRule type="aboveAverage" priority="1" stopIfTrue="1"/>
    <cfRule type="cellIs" dxfId="4" priority="2" stopIfTrue="1" operator="greaterThan">
      <formula>"7.5+$Z$37"</formula>
    </cfRule>
  </conditionalFormatting>
  <conditionalFormatting sqref="P25">
    <cfRule type="aboveAverage" priority="28" stopIfTrue="1"/>
  </conditionalFormatting>
  <conditionalFormatting sqref="Q25">
    <cfRule type="aboveAverage" priority="156" stopIfTrue="1"/>
  </conditionalFormatting>
  <conditionalFormatting sqref="R25:S25 D25:E25 G25:J25 M25 O25">
    <cfRule type="aboveAverage" priority="199" stopIfTrue="1"/>
  </conditionalFormatting>
  <printOptions horizontalCentered="1" verticalCentered="1"/>
  <pageMargins left="0.39370078740157483" right="0.39370078740157483" top="0.39370078740157483" bottom="0.39370078740157483" header="0.19685039370078741" footer="0.15748031496062992"/>
  <pageSetup paperSize="8" scale="83" orientation="landscape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AK49"/>
  <sheetViews>
    <sheetView topLeftCell="R1" zoomScale="90" zoomScaleNormal="90" workbookViewId="0">
      <selection activeCell="AB26" sqref="AB26"/>
    </sheetView>
  </sheetViews>
  <sheetFormatPr defaultColWidth="9.26953125" defaultRowHeight="12.5" x14ac:dyDescent="0.25"/>
  <cols>
    <col min="1" max="1" width="148.54296875" bestFit="1" customWidth="1"/>
    <col min="2" max="2" width="23.81640625" style="118" bestFit="1" customWidth="1"/>
    <col min="3" max="3" width="36.81640625" style="118" bestFit="1" customWidth="1"/>
    <col min="4" max="4" width="12.81640625" style="118" bestFit="1" customWidth="1"/>
    <col min="5" max="5" width="15.1796875" style="118" bestFit="1" customWidth="1"/>
    <col min="6" max="6" width="9.81640625" style="118" bestFit="1" customWidth="1"/>
    <col min="7" max="7" width="11.81640625" style="118" bestFit="1" customWidth="1"/>
    <col min="8" max="8" width="9.81640625" style="118" bestFit="1" customWidth="1"/>
    <col min="9" max="9" width="13.1796875" style="118" bestFit="1" customWidth="1"/>
    <col min="10" max="10" width="14.7265625" style="118" bestFit="1" customWidth="1"/>
    <col min="11" max="11" width="12.54296875" style="118" bestFit="1" customWidth="1"/>
    <col min="12" max="12" width="11.453125" style="118" bestFit="1" customWidth="1"/>
    <col min="13" max="13" width="12.1796875" style="118" bestFit="1" customWidth="1"/>
    <col min="14" max="14" width="12" style="118" bestFit="1" customWidth="1"/>
    <col min="15" max="16" width="11.26953125" style="118" bestFit="1" customWidth="1"/>
    <col min="17" max="17" width="11.81640625" style="118" bestFit="1" customWidth="1"/>
    <col min="18" max="18" width="11.54296875" style="118" bestFit="1" customWidth="1"/>
    <col min="19" max="19" width="13.1796875" style="118" bestFit="1" customWidth="1"/>
    <col min="20" max="20" width="11.81640625" style="118" bestFit="1" customWidth="1"/>
    <col min="21" max="21" width="12.54296875" style="118" bestFit="1" customWidth="1"/>
    <col min="22" max="22" width="13.1796875" style="118" bestFit="1" customWidth="1"/>
    <col min="23" max="23" width="11.453125" style="118" bestFit="1" customWidth="1"/>
    <col min="24" max="24" width="11.81640625" style="118" bestFit="1" customWidth="1"/>
    <col min="25" max="25" width="10.81640625" style="118" bestFit="1" customWidth="1"/>
    <col min="26" max="26" width="10.54296875" style="118" bestFit="1" customWidth="1"/>
    <col min="27" max="27" width="13.1796875" style="118" bestFit="1" customWidth="1"/>
    <col min="28" max="28" width="10.81640625" style="118" bestFit="1" customWidth="1"/>
    <col min="29" max="29" width="13.1796875" style="118" bestFit="1" customWidth="1"/>
    <col min="30" max="30" width="15.54296875" style="118" bestFit="1" customWidth="1"/>
    <col min="31" max="31" width="9.1796875" style="118" bestFit="1" customWidth="1"/>
    <col min="32" max="32" width="11.81640625" style="118" bestFit="1" customWidth="1"/>
    <col min="33" max="33" width="9.81640625" style="118" bestFit="1" customWidth="1"/>
    <col min="34" max="34" width="13.453125" style="118" bestFit="1" customWidth="1"/>
    <col min="35" max="35" width="14.81640625" style="118" bestFit="1" customWidth="1"/>
    <col min="36" max="36" width="12.1796875" style="118" bestFit="1" customWidth="1"/>
  </cols>
  <sheetData>
    <row r="1" spans="1:37" ht="14" x14ac:dyDescent="0.3">
      <c r="A1" s="9" t="s">
        <v>186</v>
      </c>
      <c r="B1" s="109"/>
      <c r="C1" s="109"/>
      <c r="D1" s="2"/>
      <c r="E1" s="3"/>
      <c r="F1" s="3"/>
      <c r="G1" s="2"/>
      <c r="H1" s="2"/>
      <c r="I1" s="3"/>
      <c r="J1" s="2"/>
      <c r="K1" s="2"/>
      <c r="L1" s="3"/>
      <c r="M1" s="3"/>
      <c r="N1" s="2"/>
      <c r="O1" s="2"/>
      <c r="P1" s="2"/>
      <c r="Q1" s="2"/>
      <c r="R1" s="2"/>
      <c r="S1" s="3"/>
      <c r="T1" s="2"/>
      <c r="U1" s="2"/>
      <c r="V1" s="2"/>
      <c r="W1" s="2"/>
      <c r="Y1" s="2"/>
      <c r="Z1" s="2"/>
      <c r="AA1" s="3"/>
      <c r="AB1" s="2"/>
      <c r="AC1" s="2"/>
      <c r="AE1" s="2"/>
      <c r="AF1" s="2"/>
      <c r="AG1" s="2"/>
      <c r="AH1" s="2"/>
      <c r="AJ1" s="2"/>
    </row>
    <row r="2" spans="1:37" ht="14" x14ac:dyDescent="0.3">
      <c r="A2" s="100"/>
      <c r="B2" s="109"/>
      <c r="C2" s="109"/>
      <c r="D2" s="3"/>
      <c r="E2" s="3"/>
      <c r="F2" s="3"/>
      <c r="G2" s="2"/>
      <c r="H2" s="2"/>
      <c r="I2" s="3"/>
      <c r="J2" s="3"/>
      <c r="K2" s="3"/>
      <c r="L2" s="3"/>
      <c r="M2" s="3"/>
      <c r="N2" s="2"/>
      <c r="O2" s="3"/>
      <c r="P2" s="2"/>
      <c r="Q2" s="3"/>
      <c r="R2" s="2"/>
      <c r="S2" s="3"/>
      <c r="T2" s="3"/>
      <c r="U2" s="3"/>
      <c r="V2" s="2"/>
      <c r="W2" s="3"/>
      <c r="X2" s="2"/>
      <c r="Y2" s="2"/>
      <c r="Z2" s="3"/>
      <c r="AA2" s="3"/>
      <c r="AB2" s="3"/>
      <c r="AC2" s="2"/>
      <c r="AD2" s="3"/>
      <c r="AE2" s="3"/>
      <c r="AF2" s="3"/>
      <c r="AG2" s="3"/>
      <c r="AH2" s="2"/>
      <c r="AI2" s="2"/>
      <c r="AJ2" s="3"/>
      <c r="AK2" s="2"/>
    </row>
    <row r="3" spans="1:37" s="4" customFormat="1" ht="14" x14ac:dyDescent="0.3">
      <c r="A3" s="88" t="s">
        <v>186</v>
      </c>
      <c r="B3" s="88" t="s">
        <v>208</v>
      </c>
      <c r="C3" s="88" t="s">
        <v>309</v>
      </c>
      <c r="D3" s="88" t="s">
        <v>310</v>
      </c>
      <c r="E3" s="88" t="s">
        <v>311</v>
      </c>
      <c r="F3" s="88" t="s">
        <v>312</v>
      </c>
      <c r="G3" s="88" t="s">
        <v>313</v>
      </c>
      <c r="H3" s="88" t="s">
        <v>314</v>
      </c>
      <c r="I3" s="88" t="s">
        <v>315</v>
      </c>
      <c r="J3" s="88" t="s">
        <v>316</v>
      </c>
      <c r="K3" s="88" t="s">
        <v>317</v>
      </c>
      <c r="L3" s="88" t="s">
        <v>318</v>
      </c>
      <c r="M3" s="88" t="s">
        <v>319</v>
      </c>
      <c r="N3" s="88" t="s">
        <v>320</v>
      </c>
      <c r="O3" s="88" t="s">
        <v>321</v>
      </c>
      <c r="P3" s="88" t="s">
        <v>322</v>
      </c>
      <c r="Q3" s="88" t="s">
        <v>323</v>
      </c>
      <c r="R3" s="88" t="s">
        <v>324</v>
      </c>
      <c r="S3" s="88" t="s">
        <v>325</v>
      </c>
      <c r="T3" s="88" t="s">
        <v>326</v>
      </c>
      <c r="U3" s="88" t="s">
        <v>327</v>
      </c>
      <c r="V3" s="88" t="s">
        <v>328</v>
      </c>
      <c r="W3" s="88" t="s">
        <v>329</v>
      </c>
      <c r="X3" s="88" t="s">
        <v>330</v>
      </c>
      <c r="Y3" s="88" t="s">
        <v>331</v>
      </c>
      <c r="Z3" s="88" t="s">
        <v>332</v>
      </c>
      <c r="AA3" s="88" t="s">
        <v>333</v>
      </c>
      <c r="AB3" s="88" t="s">
        <v>334</v>
      </c>
      <c r="AC3" s="88" t="s">
        <v>335</v>
      </c>
      <c r="AD3" s="88" t="s">
        <v>336</v>
      </c>
      <c r="AE3" s="88" t="s">
        <v>337</v>
      </c>
      <c r="AF3" s="88" t="s">
        <v>338</v>
      </c>
      <c r="AG3" s="88" t="s">
        <v>339</v>
      </c>
      <c r="AH3" s="88" t="s">
        <v>340</v>
      </c>
      <c r="AI3" s="88" t="s">
        <v>341</v>
      </c>
      <c r="AJ3" s="88" t="s">
        <v>342</v>
      </c>
    </row>
    <row r="4" spans="1:37" ht="13" x14ac:dyDescent="0.25">
      <c r="A4" s="69" t="s">
        <v>213</v>
      </c>
      <c r="B4" s="39" t="s">
        <v>18</v>
      </c>
      <c r="C4" s="39" t="s">
        <v>18</v>
      </c>
      <c r="D4" s="32" t="s">
        <v>6</v>
      </c>
      <c r="E4" s="32" t="s">
        <v>12</v>
      </c>
      <c r="F4" s="32" t="s">
        <v>6</v>
      </c>
      <c r="G4" s="32" t="s">
        <v>12</v>
      </c>
      <c r="H4" s="32" t="s">
        <v>12</v>
      </c>
      <c r="I4" s="32" t="s">
        <v>12</v>
      </c>
      <c r="J4" s="32" t="s">
        <v>6</v>
      </c>
      <c r="K4" s="32" t="s">
        <v>6</v>
      </c>
      <c r="L4" s="32" t="s">
        <v>12</v>
      </c>
      <c r="M4" s="32" t="s">
        <v>9</v>
      </c>
      <c r="N4" s="32" t="s">
        <v>12</v>
      </c>
      <c r="O4" s="32" t="s">
        <v>12</v>
      </c>
      <c r="P4" s="32" t="s">
        <v>12</v>
      </c>
      <c r="Q4" s="32" t="s">
        <v>9</v>
      </c>
      <c r="R4" s="32" t="s">
        <v>12</v>
      </c>
      <c r="S4" s="32" t="s">
        <v>6</v>
      </c>
      <c r="T4" s="32" t="s">
        <v>6</v>
      </c>
      <c r="U4" s="32" t="s">
        <v>12</v>
      </c>
      <c r="V4" s="32" t="s">
        <v>12</v>
      </c>
      <c r="W4" s="32" t="s">
        <v>6</v>
      </c>
      <c r="X4" s="32" t="s">
        <v>6</v>
      </c>
      <c r="Y4" s="32" t="s">
        <v>12</v>
      </c>
      <c r="Z4" s="32" t="s">
        <v>12</v>
      </c>
      <c r="AA4" s="32" t="s">
        <v>6</v>
      </c>
      <c r="AB4" s="32" t="s">
        <v>12</v>
      </c>
      <c r="AC4" s="32" t="s">
        <v>12</v>
      </c>
      <c r="AD4" s="32" t="s">
        <v>6</v>
      </c>
      <c r="AE4" s="32" t="s">
        <v>15</v>
      </c>
      <c r="AF4" s="32" t="s">
        <v>6</v>
      </c>
      <c r="AG4" s="32" t="s">
        <v>12</v>
      </c>
      <c r="AH4" s="32" t="s">
        <v>12</v>
      </c>
      <c r="AI4" s="32" t="s">
        <v>9</v>
      </c>
      <c r="AJ4" s="32" t="s">
        <v>12</v>
      </c>
    </row>
    <row r="5" spans="1:37" s="7" customFormat="1" ht="13" x14ac:dyDescent="0.25">
      <c r="A5" s="56" t="s">
        <v>214</v>
      </c>
      <c r="B5" s="55" t="s">
        <v>18</v>
      </c>
      <c r="C5" s="55" t="s">
        <v>18</v>
      </c>
      <c r="D5" s="33">
        <v>149.17000000000002</v>
      </c>
      <c r="E5" s="33">
        <v>150.012</v>
      </c>
      <c r="F5" s="33">
        <v>150.184</v>
      </c>
      <c r="G5" s="33">
        <v>150.28800000000001</v>
      </c>
      <c r="H5" s="33">
        <v>150.589</v>
      </c>
      <c r="I5" s="33">
        <v>150.82</v>
      </c>
      <c r="J5" s="33">
        <v>150.97</v>
      </c>
      <c r="K5" s="33">
        <v>151.011</v>
      </c>
      <c r="L5" s="33">
        <v>151.09199999999998</v>
      </c>
      <c r="M5" s="33">
        <v>151.321</v>
      </c>
      <c r="N5" s="33">
        <v>151.41300000000001</v>
      </c>
      <c r="O5" s="33">
        <v>151.673</v>
      </c>
      <c r="P5" s="33">
        <v>151.70400000000001</v>
      </c>
      <c r="Q5" s="33">
        <v>151.762</v>
      </c>
      <c r="R5" s="33">
        <v>151.786</v>
      </c>
      <c r="S5" s="33">
        <v>151.84100000000001</v>
      </c>
      <c r="T5" s="33">
        <v>152.03100000000001</v>
      </c>
      <c r="U5" s="33">
        <v>152.19499999999999</v>
      </c>
      <c r="V5" s="33">
        <v>152.29900000000001</v>
      </c>
      <c r="W5" s="33">
        <v>152.68099999999998</v>
      </c>
      <c r="X5" s="33">
        <v>153.024</v>
      </c>
      <c r="Y5" s="33">
        <v>153.48099999999999</v>
      </c>
      <c r="Z5" s="33">
        <v>154.42000000000002</v>
      </c>
      <c r="AA5" s="33">
        <v>154.65300000000002</v>
      </c>
      <c r="AB5" s="33">
        <v>155.018</v>
      </c>
      <c r="AC5" s="33">
        <v>155.76</v>
      </c>
      <c r="AD5" s="33">
        <v>156.166</v>
      </c>
      <c r="AE5" s="33">
        <v>156.405</v>
      </c>
      <c r="AF5" s="33">
        <v>156.625</v>
      </c>
      <c r="AG5" s="33">
        <v>157.083</v>
      </c>
      <c r="AH5" s="33">
        <v>157.34199999999998</v>
      </c>
      <c r="AI5" s="33">
        <v>159.25200000000001</v>
      </c>
      <c r="AJ5" s="33">
        <v>162.07499999999999</v>
      </c>
    </row>
    <row r="6" spans="1:37" s="7" customFormat="1" ht="13" x14ac:dyDescent="0.25">
      <c r="A6" s="53" t="s">
        <v>215</v>
      </c>
      <c r="B6" s="149"/>
      <c r="C6" s="149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</row>
    <row r="7" spans="1:37" s="7" customFormat="1" x14ac:dyDescent="0.25">
      <c r="A7" s="48" t="s">
        <v>216</v>
      </c>
      <c r="B7" s="49">
        <v>100</v>
      </c>
      <c r="C7" s="49">
        <v>98.526706619742725</v>
      </c>
      <c r="D7" s="49">
        <v>101.07017711171447</v>
      </c>
      <c r="E7" s="49">
        <v>108.42421599982787</v>
      </c>
      <c r="F7" s="49">
        <v>100.04692228967188</v>
      </c>
      <c r="G7" s="49">
        <v>106.80053145569963</v>
      </c>
      <c r="H7" s="49">
        <v>107.03866066474723</v>
      </c>
      <c r="I7" s="49">
        <v>98.345868373842137</v>
      </c>
      <c r="J7" s="49">
        <v>96.705169214796911</v>
      </c>
      <c r="K7" s="49">
        <v>100.52642770551016</v>
      </c>
      <c r="L7" s="49">
        <v>96.624650885868149</v>
      </c>
      <c r="M7" s="49">
        <v>101.20525471065538</v>
      </c>
      <c r="N7" s="49">
        <v>99.439483317864486</v>
      </c>
      <c r="O7" s="49">
        <v>104.07062257393181</v>
      </c>
      <c r="P7" s="49">
        <v>102.15551898812949</v>
      </c>
      <c r="Q7" s="49">
        <v>99.406268894265111</v>
      </c>
      <c r="R7" s="49">
        <v>103.33842218839783</v>
      </c>
      <c r="S7" s="49">
        <v>99.68166227604884</v>
      </c>
      <c r="T7" s="49">
        <v>94.838809089842101</v>
      </c>
      <c r="U7" s="49">
        <v>97.689521435869395</v>
      </c>
      <c r="V7" s="49">
        <v>98.647874928310543</v>
      </c>
      <c r="W7" s="49">
        <v>96.009577261263132</v>
      </c>
      <c r="X7" s="49">
        <v>98.551832058756418</v>
      </c>
      <c r="Y7" s="49">
        <v>103.41993358926004</v>
      </c>
      <c r="Z7" s="49">
        <v>96.102720731469901</v>
      </c>
      <c r="AA7" s="49">
        <v>103.22121409095763</v>
      </c>
      <c r="AB7" s="49">
        <v>103.20481029188295</v>
      </c>
      <c r="AC7" s="49">
        <v>102.03521647020902</v>
      </c>
      <c r="AD7" s="49">
        <v>108.4090466240737</v>
      </c>
      <c r="AE7" s="49">
        <v>98.090023528297181</v>
      </c>
      <c r="AF7" s="49">
        <v>96.64133731812538</v>
      </c>
      <c r="AG7" s="49">
        <v>101.17727930218113</v>
      </c>
      <c r="AH7" s="49">
        <v>110.00108623026003</v>
      </c>
      <c r="AI7" s="49">
        <v>102.7960269680306</v>
      </c>
      <c r="AJ7" s="49">
        <v>105.226482594663</v>
      </c>
    </row>
    <row r="8" spans="1:37" s="7" customFormat="1" x14ac:dyDescent="0.25">
      <c r="A8" s="111" t="s">
        <v>217</v>
      </c>
      <c r="B8" s="126">
        <f>65+11.8875479735432</f>
        <v>76.887547973543207</v>
      </c>
      <c r="C8" s="126">
        <f>65+11.9086246650671</f>
        <v>76.908624665067094</v>
      </c>
      <c r="D8" s="126">
        <f>65+12.3346262039974</f>
        <v>77.334626203997402</v>
      </c>
      <c r="E8" s="126">
        <f>65+14.8715061625824</f>
        <v>79.871506162582392</v>
      </c>
      <c r="F8" s="126">
        <f>65+11.0311127217754</f>
        <v>76.031112721775401</v>
      </c>
      <c r="G8" s="126">
        <f>65+14.8479599792222</f>
        <v>79.847959979222196</v>
      </c>
      <c r="H8" s="126">
        <f>65+11.8820386217918</f>
        <v>76.882038621791793</v>
      </c>
      <c r="I8" s="126">
        <f>65+11.2177800714221</f>
        <v>76.217780071422098</v>
      </c>
      <c r="J8" s="126">
        <f>65+10.6009660538801</f>
        <v>75.6009660538801</v>
      </c>
      <c r="K8" s="126">
        <f>65+13.7920271847576</f>
        <v>78.7920271847576</v>
      </c>
      <c r="L8" s="126">
        <f>65+11.8060011631531</f>
        <v>76.806001163153098</v>
      </c>
      <c r="M8" s="126">
        <f>65+10.352951291469</f>
        <v>75.352951291468997</v>
      </c>
      <c r="N8" s="126">
        <f>65+10.931408797899</f>
        <v>75.931408797898996</v>
      </c>
      <c r="O8" s="126">
        <f>65+11.704890052042</f>
        <v>76.704890052042003</v>
      </c>
      <c r="P8" s="126">
        <f>65+11.107614355389</f>
        <v>76.107614355389003</v>
      </c>
      <c r="Q8" s="126">
        <f>65+12.0144186408638</f>
        <v>77.014418640863795</v>
      </c>
      <c r="R8" s="126">
        <f>65+10.9703719551252</f>
        <v>75.970371955125202</v>
      </c>
      <c r="S8" s="126">
        <f>65+12.8009660538801</f>
        <v>77.800966053880103</v>
      </c>
      <c r="T8" s="126">
        <f>65+11.3039402824892</f>
        <v>76.303940282489208</v>
      </c>
      <c r="U8" s="126">
        <f>65+11.0021320188356</f>
        <v>76.002132018835596</v>
      </c>
      <c r="V8" s="126">
        <f>65+11.4540428623664</f>
        <v>76.454042862366407</v>
      </c>
      <c r="W8" s="126">
        <f>65+11.9582740123848</f>
        <v>76.958274012384805</v>
      </c>
      <c r="X8" s="126">
        <f>65+11.505062611574</f>
        <v>76.505062611574004</v>
      </c>
      <c r="Y8" s="126">
        <f>65+12.5803719551252</f>
        <v>77.580371955125202</v>
      </c>
      <c r="Z8" s="126">
        <f>65+11.3252482531757</f>
        <v>76.325248253175701</v>
      </c>
      <c r="AA8" s="126">
        <f>65+12.1139564860713</f>
        <v>77.113956486071302</v>
      </c>
      <c r="AB8" s="126">
        <f>65+11.1452292443163</f>
        <v>76.145229244316297</v>
      </c>
      <c r="AC8" s="126">
        <f>65+10.3046090266097</f>
        <v>75.304609026609697</v>
      </c>
      <c r="AD8" s="126">
        <f>65+11.3941066793754</f>
        <v>76.394106679375398</v>
      </c>
      <c r="AE8" s="126">
        <f>65+10.1378796851521</f>
        <v>75.1378796851521</v>
      </c>
      <c r="AF8" s="126">
        <f>65+14.0043684457999</f>
        <v>79.004368445799898</v>
      </c>
      <c r="AG8" s="126">
        <f>65+11.3193124773879</f>
        <v>76.319312477387896</v>
      </c>
      <c r="AH8" s="126">
        <f>65+10.4950813982604</f>
        <v>75.495081398260396</v>
      </c>
      <c r="AI8" s="126">
        <f>65+11.6161423625557</f>
        <v>76.616142362555706</v>
      </c>
      <c r="AJ8" s="126">
        <f>65+13.507159912041</f>
        <v>78.507159912041004</v>
      </c>
    </row>
    <row r="9" spans="1:37" s="7" customFormat="1" x14ac:dyDescent="0.25">
      <c r="A9" s="50" t="s">
        <v>218</v>
      </c>
      <c r="B9" s="38">
        <v>100</v>
      </c>
      <c r="C9" s="38">
        <v>98.535977309964252</v>
      </c>
      <c r="D9" s="38">
        <v>101.53366477816652</v>
      </c>
      <c r="E9" s="38">
        <v>111.47030120482862</v>
      </c>
      <c r="F9" s="38">
        <v>98.935427467321588</v>
      </c>
      <c r="G9" s="38">
        <v>110.28652322628935</v>
      </c>
      <c r="H9" s="38">
        <v>106.55474348094234</v>
      </c>
      <c r="I9" s="38">
        <v>96.542925624298263</v>
      </c>
      <c r="J9" s="38">
        <v>95.203046310806144</v>
      </c>
      <c r="K9" s="38">
        <v>102.2632777863552</v>
      </c>
      <c r="L9" s="38">
        <v>96.475288048300158</v>
      </c>
      <c r="M9" s="38">
        <v>99.130304903488025</v>
      </c>
      <c r="N9" s="38">
        <v>98.093377500328998</v>
      </c>
      <c r="O9" s="38">
        <v>103.82910211918072</v>
      </c>
      <c r="P9" s="38">
        <v>100.83862920325757</v>
      </c>
      <c r="Q9" s="38">
        <v>99.471547743980324</v>
      </c>
      <c r="R9" s="38">
        <v>102.02743928341101</v>
      </c>
      <c r="S9" s="38">
        <v>100.80958013888269</v>
      </c>
      <c r="T9" s="38">
        <v>94.062036288888919</v>
      </c>
      <c r="U9" s="38">
        <v>95.914835653505463</v>
      </c>
      <c r="V9" s="38">
        <v>98.044124571066504</v>
      </c>
      <c r="W9" s="38">
        <v>96.056683851376135</v>
      </c>
      <c r="X9" s="38">
        <v>97.987598879866141</v>
      </c>
      <c r="Y9" s="38">
        <v>103.93391535070188</v>
      </c>
      <c r="Z9" s="38">
        <v>95.349223715065875</v>
      </c>
      <c r="AA9" s="38">
        <v>103.71432079821363</v>
      </c>
      <c r="AB9" s="38">
        <v>101.86224946007469</v>
      </c>
      <c r="AC9" s="38">
        <v>100.02243339709013</v>
      </c>
      <c r="AD9" s="38">
        <v>107.67098973070134</v>
      </c>
      <c r="AE9" s="38">
        <v>96.060903443140802</v>
      </c>
      <c r="AF9" s="38">
        <v>99.039831285770731</v>
      </c>
      <c r="AG9" s="38">
        <v>100.17759491030797</v>
      </c>
      <c r="AH9" s="38">
        <v>108.04431570337744</v>
      </c>
      <c r="AI9" s="38">
        <v>102.34534323264481</v>
      </c>
      <c r="AJ9" s="38">
        <v>107.22498375060827</v>
      </c>
    </row>
    <row r="10" spans="1:37" s="7" customFormat="1" x14ac:dyDescent="0.25">
      <c r="A10" s="48" t="s">
        <v>219</v>
      </c>
      <c r="B10" s="49">
        <v>70.831613448245761</v>
      </c>
      <c r="C10" s="49">
        <v>73.352996790960432</v>
      </c>
      <c r="D10" s="49">
        <v>73.856458883861663</v>
      </c>
      <c r="E10" s="49">
        <v>69.475081919024973</v>
      </c>
      <c r="F10" s="49">
        <v>71.042607641584894</v>
      </c>
      <c r="G10" s="49">
        <v>69.038493597117096</v>
      </c>
      <c r="H10" s="49">
        <v>67.293573536978755</v>
      </c>
      <c r="I10" s="49">
        <v>72.462970807913862</v>
      </c>
      <c r="J10" s="49">
        <v>73.117254149988497</v>
      </c>
      <c r="K10" s="49">
        <v>71.293649812876779</v>
      </c>
      <c r="L10" s="49">
        <v>77.491193030136074</v>
      </c>
      <c r="M10" s="49">
        <v>67.050384817254653</v>
      </c>
      <c r="N10" s="49">
        <v>71.70782519623161</v>
      </c>
      <c r="O10" s="49">
        <v>66.640415252358324</v>
      </c>
      <c r="P10" s="49">
        <v>70.097751247641398</v>
      </c>
      <c r="Q10" s="49">
        <v>72.681706851187826</v>
      </c>
      <c r="R10" s="49">
        <v>73.063073536978749</v>
      </c>
      <c r="S10" s="49">
        <v>74.983754149988485</v>
      </c>
      <c r="T10" s="49">
        <v>72.296780088173534</v>
      </c>
      <c r="U10" s="49">
        <v>71.235881077139808</v>
      </c>
      <c r="V10" s="49">
        <v>69.081567295396823</v>
      </c>
      <c r="W10" s="49">
        <v>69.752601801005227</v>
      </c>
      <c r="X10" s="49">
        <v>72.50925783475445</v>
      </c>
      <c r="Y10" s="49">
        <v>67.807406870312079</v>
      </c>
      <c r="Z10" s="49">
        <v>77.143452833245888</v>
      </c>
      <c r="AA10" s="49">
        <v>71.570580279970628</v>
      </c>
      <c r="AB10" s="49">
        <v>66.785631077139811</v>
      </c>
      <c r="AC10" s="49">
        <v>67.287631077139807</v>
      </c>
      <c r="AD10" s="49">
        <v>66.712886875657844</v>
      </c>
      <c r="AE10" s="49">
        <v>74.660619501699315</v>
      </c>
      <c r="AF10" s="49">
        <v>77.950743392262538</v>
      </c>
      <c r="AG10" s="49">
        <v>72.451990903282066</v>
      </c>
      <c r="AH10" s="49">
        <v>67.498600918963618</v>
      </c>
      <c r="AI10" s="49">
        <v>68.488017926489164</v>
      </c>
      <c r="AJ10" s="49">
        <v>65.488547743806478</v>
      </c>
    </row>
    <row r="11" spans="1:37" s="7" customFormat="1" ht="13" x14ac:dyDescent="0.25">
      <c r="A11" s="53" t="s">
        <v>220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</row>
    <row r="12" spans="1:37" s="7" customFormat="1" x14ac:dyDescent="0.25">
      <c r="A12" s="48" t="s">
        <v>221</v>
      </c>
      <c r="B12" s="49">
        <v>100</v>
      </c>
      <c r="C12" s="49">
        <v>96.906190156614954</v>
      </c>
      <c r="D12" s="49">
        <v>101.41276161288012</v>
      </c>
      <c r="E12" s="49">
        <v>102.571448936632</v>
      </c>
      <c r="F12" s="49">
        <v>98.015647575797928</v>
      </c>
      <c r="G12" s="49">
        <v>96.92954366011044</v>
      </c>
      <c r="H12" s="49">
        <v>102.05131921416633</v>
      </c>
      <c r="I12" s="49">
        <v>97.263841872804207</v>
      </c>
      <c r="J12" s="49">
        <v>95.025337141429915</v>
      </c>
      <c r="K12" s="49">
        <v>101.66174861352103</v>
      </c>
      <c r="L12" s="49">
        <v>95.330668170132938</v>
      </c>
      <c r="M12" s="49">
        <v>101.24507505642202</v>
      </c>
      <c r="N12" s="49">
        <v>99.225233916382336</v>
      </c>
      <c r="O12" s="49">
        <v>101.76164958459329</v>
      </c>
      <c r="P12" s="49">
        <v>103.0341074999026</v>
      </c>
      <c r="Q12" s="49">
        <v>99.673447375021041</v>
      </c>
      <c r="R12" s="49">
        <v>103.28334927736999</v>
      </c>
      <c r="S12" s="49">
        <v>95.732423783057627</v>
      </c>
      <c r="T12" s="49">
        <v>97.844155692215111</v>
      </c>
      <c r="U12" s="49">
        <v>98.278158254116278</v>
      </c>
      <c r="V12" s="49">
        <v>98.99931562508587</v>
      </c>
      <c r="W12" s="49">
        <v>92.321959601486157</v>
      </c>
      <c r="X12" s="49">
        <v>99.905806902896117</v>
      </c>
      <c r="Y12" s="49">
        <v>99.940704446998708</v>
      </c>
      <c r="Z12" s="49">
        <v>94.847453184706183</v>
      </c>
      <c r="AA12" s="49">
        <v>99.45234304551056</v>
      </c>
      <c r="AB12" s="49">
        <v>97.846005464635923</v>
      </c>
      <c r="AC12" s="49">
        <v>96.605266908152885</v>
      </c>
      <c r="AD12" s="49">
        <v>99.899885255189915</v>
      </c>
      <c r="AE12" s="49">
        <v>94.044619524880929</v>
      </c>
      <c r="AF12" s="49">
        <v>92.367616955397438</v>
      </c>
      <c r="AG12" s="49">
        <v>95.251241955580312</v>
      </c>
      <c r="AH12" s="49">
        <v>98.974167466888218</v>
      </c>
      <c r="AI12" s="49">
        <v>98.535130437125076</v>
      </c>
      <c r="AJ12" s="49">
        <v>95.500004848649453</v>
      </c>
    </row>
    <row r="13" spans="1:37" s="7" customFormat="1" x14ac:dyDescent="0.25">
      <c r="A13" s="51" t="s">
        <v>222</v>
      </c>
      <c r="B13" s="38">
        <v>100</v>
      </c>
      <c r="C13" s="49">
        <v>97.591336380139168</v>
      </c>
      <c r="D13" s="38">
        <v>103.23071234992737</v>
      </c>
      <c r="E13" s="38">
        <v>104.88461451451109</v>
      </c>
      <c r="F13" s="38">
        <v>98.38293596117397</v>
      </c>
      <c r="G13" s="38">
        <v>96.274652636565506</v>
      </c>
      <c r="H13" s="38">
        <v>102.71207707115869</v>
      </c>
      <c r="I13" s="38">
        <v>98.39114749441012</v>
      </c>
      <c r="J13" s="38">
        <v>94.390179437596544</v>
      </c>
      <c r="K13" s="38">
        <v>102.44037283937301</v>
      </c>
      <c r="L13" s="38">
        <v>97.906009005400705</v>
      </c>
      <c r="M13" s="38">
        <v>102.52540718046052</v>
      </c>
      <c r="N13" s="38">
        <v>101.50148082545086</v>
      </c>
      <c r="O13" s="38">
        <v>104.39970083481074</v>
      </c>
      <c r="P13" s="38">
        <v>104.87365990202075</v>
      </c>
      <c r="Q13" s="38">
        <v>100.84987530702584</v>
      </c>
      <c r="R13" s="38">
        <v>106.31372203322701</v>
      </c>
      <c r="S13" s="38">
        <v>95.943243893608184</v>
      </c>
      <c r="T13" s="38">
        <v>97.574755962727608</v>
      </c>
      <c r="U13" s="38">
        <v>97.989443664681147</v>
      </c>
      <c r="V13" s="38">
        <v>100.73895285458362</v>
      </c>
      <c r="W13" s="38">
        <v>92.244931875122788</v>
      </c>
      <c r="X13" s="38">
        <v>102.49002641359569</v>
      </c>
      <c r="Y13" s="38">
        <v>102.40054132638855</v>
      </c>
      <c r="Z13" s="38">
        <v>97.811957569798096</v>
      </c>
      <c r="AA13" s="38">
        <v>100.92852222708493</v>
      </c>
      <c r="AB13" s="38">
        <v>97.993060648307278</v>
      </c>
      <c r="AC13" s="38">
        <v>96.687907481603233</v>
      </c>
      <c r="AD13" s="38">
        <v>98.561662622077378</v>
      </c>
      <c r="AE13" s="38">
        <v>92.91057783418411</v>
      </c>
      <c r="AF13" s="38">
        <v>93.429690765187289</v>
      </c>
      <c r="AG13" s="38">
        <v>94.891423156501943</v>
      </c>
      <c r="AH13" s="38">
        <v>100.00883618133298</v>
      </c>
      <c r="AI13" s="38">
        <v>101.55925359335384</v>
      </c>
      <c r="AJ13" s="38">
        <v>96.420513190312604</v>
      </c>
    </row>
    <row r="14" spans="1:37" s="7" customFormat="1" x14ac:dyDescent="0.25">
      <c r="A14" s="48" t="s">
        <v>223</v>
      </c>
      <c r="B14" s="49">
        <v>100</v>
      </c>
      <c r="C14" s="49">
        <v>95.536186702627589</v>
      </c>
      <c r="D14" s="49">
        <v>101.49316977201259</v>
      </c>
      <c r="E14" s="49">
        <v>97.762156622672592</v>
      </c>
      <c r="F14" s="49">
        <v>99.135325291776283</v>
      </c>
      <c r="G14" s="49">
        <v>98.553619285933834</v>
      </c>
      <c r="H14" s="49">
        <v>103.21396792259769</v>
      </c>
      <c r="I14" s="49">
        <v>96.499656199762455</v>
      </c>
      <c r="J14" s="49">
        <v>94.89745698830356</v>
      </c>
      <c r="K14" s="49">
        <v>95.478696486217643</v>
      </c>
      <c r="L14" s="49">
        <v>99.680633647809032</v>
      </c>
      <c r="M14" s="49">
        <v>102.52642051052179</v>
      </c>
      <c r="N14" s="49">
        <v>99.560029536674662</v>
      </c>
      <c r="O14" s="49">
        <v>103.44777200649247</v>
      </c>
      <c r="P14" s="49">
        <v>103.60276593172989</v>
      </c>
      <c r="Q14" s="49">
        <v>98.75361419015691</v>
      </c>
      <c r="R14" s="49">
        <v>104.25538532214105</v>
      </c>
      <c r="S14" s="49">
        <v>93.230607351604277</v>
      </c>
      <c r="T14" s="49">
        <v>97.405264342822363</v>
      </c>
      <c r="U14" s="49">
        <v>98.134018488423038</v>
      </c>
      <c r="V14" s="49">
        <v>97.081437999432623</v>
      </c>
      <c r="W14" s="49">
        <v>91.911375051114547</v>
      </c>
      <c r="X14" s="49">
        <v>99.087510545682719</v>
      </c>
      <c r="Y14" s="49">
        <v>97.669438415531559</v>
      </c>
      <c r="Z14" s="49">
        <v>93.552876661985039</v>
      </c>
      <c r="AA14" s="49">
        <v>95.617798325126941</v>
      </c>
      <c r="AB14" s="49">
        <v>101.58310758542096</v>
      </c>
      <c r="AC14" s="49">
        <v>96.860851779297818</v>
      </c>
      <c r="AD14" s="49">
        <v>102.95713481999827</v>
      </c>
      <c r="AE14" s="49">
        <v>93.946710071288194</v>
      </c>
      <c r="AF14" s="49">
        <v>89.379344073076894</v>
      </c>
      <c r="AG14" s="49">
        <v>95.311361882912692</v>
      </c>
      <c r="AH14" s="49">
        <v>100.37198165098758</v>
      </c>
      <c r="AI14" s="49">
        <v>97.647524727133359</v>
      </c>
      <c r="AJ14" s="49">
        <v>93.004504481361153</v>
      </c>
    </row>
    <row r="15" spans="1:37" s="7" customFormat="1" x14ac:dyDescent="0.25">
      <c r="A15" s="111" t="s">
        <v>224</v>
      </c>
      <c r="B15" s="49">
        <v>100</v>
      </c>
      <c r="C15" s="128">
        <v>96.223980900464795</v>
      </c>
      <c r="D15" s="49">
        <v>101.44961535248251</v>
      </c>
      <c r="E15" s="49">
        <v>100.96835149864552</v>
      </c>
      <c r="F15" s="49">
        <v>98.532421906249482</v>
      </c>
      <c r="G15" s="49">
        <v>97.741581473022137</v>
      </c>
      <c r="H15" s="49">
        <v>102.51637869753887</v>
      </c>
      <c r="I15" s="49">
        <v>97.009113315123614</v>
      </c>
      <c r="J15" s="49">
        <v>94.964441830417371</v>
      </c>
      <c r="K15" s="49">
        <v>99.011869130391005</v>
      </c>
      <c r="L15" s="49">
        <v>96.780656662691641</v>
      </c>
      <c r="M15" s="49">
        <v>101.75761323806194</v>
      </c>
      <c r="N15" s="49">
        <v>99.392631726528492</v>
      </c>
      <c r="O15" s="49">
        <v>102.32369039189302</v>
      </c>
      <c r="P15" s="49">
        <v>103.31843671581623</v>
      </c>
      <c r="Q15" s="49">
        <v>99.213530782588975</v>
      </c>
      <c r="R15" s="49">
        <v>103.67216369527841</v>
      </c>
      <c r="S15" s="49">
        <v>94.5410826252227</v>
      </c>
      <c r="T15" s="49">
        <v>97.624710017518737</v>
      </c>
      <c r="U15" s="49">
        <v>98.219191986332675</v>
      </c>
      <c r="V15" s="49">
        <v>98.040376812259254</v>
      </c>
      <c r="W15" s="49">
        <v>92.128287643763713</v>
      </c>
      <c r="X15" s="49">
        <v>99.496658724289418</v>
      </c>
      <c r="Y15" s="49">
        <v>99.032198034411849</v>
      </c>
      <c r="Z15" s="49">
        <v>94.254105611792326</v>
      </c>
      <c r="AA15" s="49">
        <v>97.535070685318757</v>
      </c>
      <c r="AB15" s="49">
        <v>99.374819968593428</v>
      </c>
      <c r="AC15" s="49">
        <v>96.709824355439437</v>
      </c>
      <c r="AD15" s="49">
        <v>101.3011246390604</v>
      </c>
      <c r="AE15" s="49">
        <v>93.995664798084547</v>
      </c>
      <c r="AF15" s="49">
        <v>90.873480514237158</v>
      </c>
      <c r="AG15" s="49">
        <v>95.27879692227431</v>
      </c>
      <c r="AH15" s="49">
        <v>99.673074558937898</v>
      </c>
      <c r="AI15" s="49">
        <v>98.099396724947326</v>
      </c>
      <c r="AJ15" s="49">
        <v>94.47911833475878</v>
      </c>
    </row>
    <row r="16" spans="1:37" s="7" customFormat="1" x14ac:dyDescent="0.25">
      <c r="A16" s="48" t="s">
        <v>225</v>
      </c>
      <c r="B16" s="49">
        <v>66.243111205308352</v>
      </c>
      <c r="C16" s="49">
        <v>67.790995023422923</v>
      </c>
      <c r="D16" s="128">
        <v>70.335019878464919</v>
      </c>
      <c r="E16" s="128">
        <v>63.074101161701265</v>
      </c>
      <c r="F16" s="128">
        <v>64.82244387628181</v>
      </c>
      <c r="G16" s="49">
        <v>63.680308534707628</v>
      </c>
      <c r="H16" s="49">
        <v>61.841216806233767</v>
      </c>
      <c r="I16" s="128">
        <v>68.183267828367917</v>
      </c>
      <c r="J16" s="128">
        <v>68.810812526040152</v>
      </c>
      <c r="K16" s="128">
        <v>66.789425058158329</v>
      </c>
      <c r="L16" s="128">
        <v>70.279434495034593</v>
      </c>
      <c r="M16" s="128">
        <v>62.664137339292992</v>
      </c>
      <c r="N16" s="49">
        <v>65.789518726200754</v>
      </c>
      <c r="O16" s="128">
        <v>62.817601161701262</v>
      </c>
      <c r="P16" s="49">
        <v>66.333641050997741</v>
      </c>
      <c r="Q16" s="128">
        <v>68.168436831493096</v>
      </c>
      <c r="R16" s="49">
        <v>67.181383472900436</v>
      </c>
      <c r="S16" s="128">
        <v>71.572412526040154</v>
      </c>
      <c r="T16" s="128">
        <v>67.211992076232136</v>
      </c>
      <c r="U16" s="128">
        <v>65.417194392903397</v>
      </c>
      <c r="V16" s="49">
        <v>61.620277637819655</v>
      </c>
      <c r="W16" s="128">
        <v>61.831947123714848</v>
      </c>
      <c r="X16" s="128">
        <v>65.997918999445957</v>
      </c>
      <c r="Y16" s="49">
        <v>61.508716806233771</v>
      </c>
      <c r="Z16" s="128">
        <v>69.759918075908729</v>
      </c>
      <c r="AA16" s="128">
        <v>63.23617943080621</v>
      </c>
      <c r="AB16" s="128">
        <v>64.251416615125621</v>
      </c>
      <c r="AC16" s="128">
        <v>62.622305504014506</v>
      </c>
      <c r="AD16" s="128">
        <v>61.816393146819522</v>
      </c>
      <c r="AE16" s="128">
        <v>69.050873084316876</v>
      </c>
      <c r="AF16" s="128">
        <v>72.885205729114062</v>
      </c>
      <c r="AG16" s="128">
        <v>66.208346578646754</v>
      </c>
      <c r="AH16" s="49">
        <v>62.150133588634951</v>
      </c>
      <c r="AI16" s="49">
        <v>62.163888497549948</v>
      </c>
      <c r="AJ16" s="128">
        <v>61.98908328179229</v>
      </c>
    </row>
    <row r="17" spans="1:36" s="7" customFormat="1" ht="13" x14ac:dyDescent="0.25">
      <c r="A17" s="53" t="s">
        <v>226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</row>
    <row r="18" spans="1:36" s="7" customFormat="1" x14ac:dyDescent="0.25">
      <c r="A18" s="48" t="s">
        <v>227</v>
      </c>
      <c r="B18" s="49">
        <v>100</v>
      </c>
      <c r="C18" s="49">
        <v>85.49408573032251</v>
      </c>
      <c r="D18" s="49">
        <v>89.91711520984741</v>
      </c>
      <c r="E18" s="49">
        <v>90.67386570505964</v>
      </c>
      <c r="F18" s="49">
        <v>93.70890412635238</v>
      </c>
      <c r="G18" s="49">
        <v>97.264237690519934</v>
      </c>
      <c r="H18" s="49">
        <v>91.933582099529318</v>
      </c>
      <c r="I18" s="49">
        <v>81.81228231700149</v>
      </c>
      <c r="J18" s="49">
        <v>80.285148386255401</v>
      </c>
      <c r="K18" s="49">
        <v>88.37426869726653</v>
      </c>
      <c r="L18" s="49">
        <v>87.418922311833512</v>
      </c>
      <c r="M18" s="49">
        <v>94.837068980777218</v>
      </c>
      <c r="N18" s="49">
        <v>81.115649780876694</v>
      </c>
      <c r="O18" s="49">
        <v>93.294095136606671</v>
      </c>
      <c r="P18" s="49">
        <v>95.305168635721884</v>
      </c>
      <c r="Q18" s="49">
        <v>99.35491288215708</v>
      </c>
      <c r="R18" s="49">
        <v>87.375241506035124</v>
      </c>
      <c r="S18" s="49">
        <v>91.441466866537922</v>
      </c>
      <c r="T18" s="49">
        <v>77.308050254217662</v>
      </c>
      <c r="U18" s="49">
        <v>82.28076535579406</v>
      </c>
      <c r="V18" s="49">
        <v>83.074718835674716</v>
      </c>
      <c r="W18" s="49">
        <v>85.813672269220504</v>
      </c>
      <c r="X18" s="49">
        <v>88.749006922724533</v>
      </c>
      <c r="Y18" s="49">
        <v>84.113756638373246</v>
      </c>
      <c r="Z18" s="49">
        <v>75.173796380051883</v>
      </c>
      <c r="AA18" s="49">
        <v>88.720696766114102</v>
      </c>
      <c r="AB18" s="49">
        <v>84.502264221670885</v>
      </c>
      <c r="AC18" s="49">
        <v>88.225105727673281</v>
      </c>
      <c r="AD18" s="49">
        <v>102.09433083697145</v>
      </c>
      <c r="AE18" s="49">
        <v>83.314768680165713</v>
      </c>
      <c r="AF18" s="49">
        <v>78.245326790055643</v>
      </c>
      <c r="AG18" s="49">
        <v>81.005712641335919</v>
      </c>
      <c r="AH18" s="49">
        <v>98.344472029146814</v>
      </c>
      <c r="AI18" s="49">
        <v>91.894649304873781</v>
      </c>
      <c r="AJ18" s="49">
        <v>85.393304975566551</v>
      </c>
    </row>
    <row r="19" spans="1:36" s="7" customFormat="1" x14ac:dyDescent="0.25">
      <c r="A19" s="48" t="s">
        <v>228</v>
      </c>
      <c r="B19" s="49">
        <v>100</v>
      </c>
      <c r="C19" s="49">
        <v>91.807166044472879</v>
      </c>
      <c r="D19" s="49">
        <v>98.294598735155731</v>
      </c>
      <c r="E19" s="49">
        <v>97.931092889473689</v>
      </c>
      <c r="F19" s="49">
        <v>99.087169063299157</v>
      </c>
      <c r="G19" s="49">
        <v>102.24329758355343</v>
      </c>
      <c r="H19" s="49">
        <v>101.91051119394115</v>
      </c>
      <c r="I19" s="49">
        <v>89.281830954237307</v>
      </c>
      <c r="J19" s="49">
        <v>87.681219606746978</v>
      </c>
      <c r="K19" s="49">
        <v>96.297654553689597</v>
      </c>
      <c r="L19" s="49">
        <v>92.990563321325851</v>
      </c>
      <c r="M19" s="49">
        <v>99.299805722171882</v>
      </c>
      <c r="N19" s="49">
        <v>92.406256328269691</v>
      </c>
      <c r="O19" s="49">
        <v>96.788234114483615</v>
      </c>
      <c r="P19" s="49">
        <v>101.32052152938822</v>
      </c>
      <c r="Q19" s="49">
        <v>100.64214924896034</v>
      </c>
      <c r="R19" s="49">
        <v>95.433570315446616</v>
      </c>
      <c r="S19" s="49">
        <v>96.614195121144334</v>
      </c>
      <c r="T19" s="49">
        <v>85.917701824885057</v>
      </c>
      <c r="U19" s="49">
        <v>87.641536835522174</v>
      </c>
      <c r="V19" s="49">
        <v>87.922156452131873</v>
      </c>
      <c r="W19" s="49">
        <v>88.266837965638231</v>
      </c>
      <c r="X19" s="49">
        <v>94.759677457266505</v>
      </c>
      <c r="Y19" s="49">
        <v>92.271809268684095</v>
      </c>
      <c r="Z19" s="49">
        <v>83.716430106661136</v>
      </c>
      <c r="AA19" s="49">
        <v>94.245986636461993</v>
      </c>
      <c r="AB19" s="49">
        <v>91.1801744627532</v>
      </c>
      <c r="AC19" s="49">
        <v>91.020085295828537</v>
      </c>
      <c r="AD19" s="49">
        <v>102.25689552819863</v>
      </c>
      <c r="AE19" s="49">
        <v>88.094797048387264</v>
      </c>
      <c r="AF19" s="49">
        <v>84.344212601506115</v>
      </c>
      <c r="AG19" s="49">
        <v>87.429140127369706</v>
      </c>
      <c r="AH19" s="49">
        <v>99.089048720944405</v>
      </c>
      <c r="AI19" s="49">
        <v>95.34824638358991</v>
      </c>
      <c r="AJ19" s="49">
        <v>91.110135452223673</v>
      </c>
    </row>
    <row r="20" spans="1:36" s="7" customFormat="1" x14ac:dyDescent="0.25">
      <c r="A20" s="48" t="s">
        <v>229</v>
      </c>
      <c r="B20" s="49">
        <v>100</v>
      </c>
      <c r="C20" s="49">
        <v>103.92100232297558</v>
      </c>
      <c r="D20" s="49">
        <v>100.73993383489558</v>
      </c>
      <c r="E20" s="49">
        <v>110.86363018058816</v>
      </c>
      <c r="F20" s="49">
        <v>103.53262291921143</v>
      </c>
      <c r="G20" s="49">
        <v>105.90170962028033</v>
      </c>
      <c r="H20" s="49">
        <v>116.17312518659682</v>
      </c>
      <c r="I20" s="49">
        <v>104.50877457553689</v>
      </c>
      <c r="J20" s="49">
        <v>103.34502180111936</v>
      </c>
      <c r="K20" s="49">
        <v>104.8256740976697</v>
      </c>
      <c r="L20" s="49">
        <v>104.8539857737085</v>
      </c>
      <c r="M20" s="49">
        <v>101.91534221793255</v>
      </c>
      <c r="N20" s="49">
        <v>109.07375551613995</v>
      </c>
      <c r="O20" s="49">
        <v>106.11604821863691</v>
      </c>
      <c r="P20" s="49">
        <v>105.56026818743395</v>
      </c>
      <c r="Q20" s="49">
        <v>99.558137702883002</v>
      </c>
      <c r="R20" s="49">
        <v>106.74106438494073</v>
      </c>
      <c r="S20" s="49">
        <v>101.8650679870224</v>
      </c>
      <c r="T20" s="49">
        <v>103.19576312669236</v>
      </c>
      <c r="U20" s="49">
        <v>103.91324489456512</v>
      </c>
      <c r="V20" s="49">
        <v>110.42159800996963</v>
      </c>
      <c r="W20" s="49">
        <v>100.50530657965955</v>
      </c>
      <c r="X20" s="49">
        <v>100.66903308026663</v>
      </c>
      <c r="Y20" s="49">
        <v>111.62970038485459</v>
      </c>
      <c r="Z20" s="49">
        <v>106.75223929923381</v>
      </c>
      <c r="AA20" s="49">
        <v>109.73780653436128</v>
      </c>
      <c r="AB20" s="49">
        <v>110.63651137508442</v>
      </c>
      <c r="AC20" s="49">
        <v>108.47894138651199</v>
      </c>
      <c r="AD20" s="49">
        <v>113.66422442773923</v>
      </c>
      <c r="AE20" s="49">
        <v>106.66125123346471</v>
      </c>
      <c r="AF20" s="49">
        <v>105.1017008121555</v>
      </c>
      <c r="AG20" s="49">
        <v>109.6220580513027</v>
      </c>
      <c r="AH20" s="49">
        <v>115.94064659585918</v>
      </c>
      <c r="AI20" s="49">
        <v>109.74859708528099</v>
      </c>
      <c r="AJ20" s="49">
        <v>113.0808293750413</v>
      </c>
    </row>
    <row r="21" spans="1:36" s="7" customFormat="1" x14ac:dyDescent="0.25">
      <c r="A21" s="48" t="s">
        <v>230</v>
      </c>
      <c r="B21" s="49">
        <v>100</v>
      </c>
      <c r="C21" s="49">
        <v>99.549440240102925</v>
      </c>
      <c r="D21" s="49">
        <v>103.00746713853924</v>
      </c>
      <c r="E21" s="49">
        <v>118.29412536944051</v>
      </c>
      <c r="F21" s="49">
        <v>98.835633551603181</v>
      </c>
      <c r="G21" s="49">
        <v>109.87623234442067</v>
      </c>
      <c r="H21" s="49">
        <v>104.78017475300813</v>
      </c>
      <c r="I21" s="49">
        <v>102.51730614409703</v>
      </c>
      <c r="J21" s="49">
        <v>101.13328533736004</v>
      </c>
      <c r="K21" s="49">
        <v>97.819640624651996</v>
      </c>
      <c r="L21" s="49">
        <v>94.147005649193886</v>
      </c>
      <c r="M21" s="49">
        <v>101.90499723508128</v>
      </c>
      <c r="N21" s="49">
        <v>96.161322514316112</v>
      </c>
      <c r="O21" s="49">
        <v>112.35372362070326</v>
      </c>
      <c r="P21" s="49">
        <v>98.205708562244823</v>
      </c>
      <c r="Q21" s="49">
        <v>98.86222817370151</v>
      </c>
      <c r="R21" s="49">
        <v>105.23811713547454</v>
      </c>
      <c r="S21" s="49">
        <v>98.625505118567503</v>
      </c>
      <c r="T21" s="49">
        <v>95.704802498820214</v>
      </c>
      <c r="U21" s="49">
        <v>101.71040616884936</v>
      </c>
      <c r="V21" s="49">
        <v>99.922992842504911</v>
      </c>
      <c r="W21" s="49">
        <v>99.351195952237418</v>
      </c>
      <c r="X21" s="49">
        <v>99.656790734870924</v>
      </c>
      <c r="Y21" s="49">
        <v>108.14464999882554</v>
      </c>
      <c r="Z21" s="49">
        <v>96.843156438170908</v>
      </c>
      <c r="AA21" s="49">
        <v>103.812253331522</v>
      </c>
      <c r="AB21" s="49">
        <v>110.65260381555393</v>
      </c>
      <c r="AC21" s="49">
        <v>105.91600028154193</v>
      </c>
      <c r="AD21" s="49">
        <v>110.88516805814744</v>
      </c>
      <c r="AE21" s="49">
        <v>99.404282528801048</v>
      </c>
      <c r="AF21" s="49">
        <v>99.077811107976615</v>
      </c>
      <c r="AG21" s="49">
        <v>106.11493386381532</v>
      </c>
      <c r="AH21" s="49">
        <v>114.91126312531932</v>
      </c>
      <c r="AI21" s="49">
        <v>105.02163724046368</v>
      </c>
      <c r="AJ21" s="49">
        <v>112.44104335184548</v>
      </c>
    </row>
    <row r="22" spans="1:36" s="7" customFormat="1" x14ac:dyDescent="0.25">
      <c r="A22" s="48" t="s">
        <v>231</v>
      </c>
      <c r="B22" s="49">
        <v>100</v>
      </c>
      <c r="C22" s="49">
        <v>97.727807212557636</v>
      </c>
      <c r="D22" s="49">
        <v>104.96859176234369</v>
      </c>
      <c r="E22" s="49">
        <v>108.89861810992171</v>
      </c>
      <c r="F22" s="49">
        <v>95.95967986409542</v>
      </c>
      <c r="G22" s="49">
        <v>115.51026078120893</v>
      </c>
      <c r="H22" s="49">
        <v>100.48080804395849</v>
      </c>
      <c r="I22" s="49">
        <v>94.831709307791229</v>
      </c>
      <c r="J22" s="49">
        <v>92.149018202761525</v>
      </c>
      <c r="K22" s="49">
        <v>103.11187758181063</v>
      </c>
      <c r="L22" s="49">
        <v>87.385034023546538</v>
      </c>
      <c r="M22" s="49">
        <v>102.719504165518</v>
      </c>
      <c r="N22" s="49">
        <v>95.200671890960251</v>
      </c>
      <c r="O22" s="49">
        <v>101.13876489316206</v>
      </c>
      <c r="P22" s="49">
        <v>101.91833849215102</v>
      </c>
      <c r="Q22" s="49">
        <v>97.847591445486856</v>
      </c>
      <c r="R22" s="49">
        <v>109.17149567124875</v>
      </c>
      <c r="S22" s="49">
        <v>102.41342494093951</v>
      </c>
      <c r="T22" s="49">
        <v>91.447070485256177</v>
      </c>
      <c r="U22" s="49">
        <v>96.070284372337142</v>
      </c>
      <c r="V22" s="49">
        <v>90.40904950052969</v>
      </c>
      <c r="W22" s="49">
        <v>95.289675295483789</v>
      </c>
      <c r="X22" s="49">
        <v>99.614541626268348</v>
      </c>
      <c r="Y22" s="49">
        <v>100.37641539978684</v>
      </c>
      <c r="Z22" s="49">
        <v>94.833014989999512</v>
      </c>
      <c r="AA22" s="49">
        <v>105.20554661277272</v>
      </c>
      <c r="AB22" s="49">
        <v>97.757174606977358</v>
      </c>
      <c r="AC22" s="49">
        <v>102.7609039101316</v>
      </c>
      <c r="AD22" s="49">
        <v>104.17852936364585</v>
      </c>
      <c r="AE22" s="49">
        <v>95.918700210062454</v>
      </c>
      <c r="AF22" s="49">
        <v>97.305368755809866</v>
      </c>
      <c r="AG22" s="49">
        <v>100.61968905973214</v>
      </c>
      <c r="AH22" s="49">
        <v>113.75646446142969</v>
      </c>
      <c r="AI22" s="49">
        <v>97.850557368868678</v>
      </c>
      <c r="AJ22" s="49">
        <v>103.82143822687739</v>
      </c>
    </row>
    <row r="23" spans="1:36" s="7" customFormat="1" ht="13" x14ac:dyDescent="0.25">
      <c r="A23" s="129" t="s">
        <v>232</v>
      </c>
      <c r="B23" s="49"/>
      <c r="C23" s="49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</row>
    <row r="24" spans="1:36" s="7" customFormat="1" x14ac:dyDescent="0.25">
      <c r="A24" s="48" t="s">
        <v>233</v>
      </c>
      <c r="B24" s="49">
        <v>100</v>
      </c>
      <c r="C24" s="49">
        <v>100.85400995657024</v>
      </c>
      <c r="D24" s="49">
        <v>108.47429009789049</v>
      </c>
      <c r="E24" s="49">
        <v>102.80331246050704</v>
      </c>
      <c r="F24" s="49">
        <v>104.45377329450531</v>
      </c>
      <c r="G24" s="49">
        <v>96.314219111164462</v>
      </c>
      <c r="H24" s="49">
        <v>104.81516111936429</v>
      </c>
      <c r="I24" s="49">
        <v>102.40889853661716</v>
      </c>
      <c r="J24" s="49">
        <v>98.79221661188879</v>
      </c>
      <c r="K24" s="49">
        <v>105.83440291045143</v>
      </c>
      <c r="L24" s="49">
        <v>100.77969137657308</v>
      </c>
      <c r="M24" s="49">
        <v>112.43366867322027</v>
      </c>
      <c r="N24" s="49">
        <v>105.20894195509382</v>
      </c>
      <c r="O24" s="49">
        <v>104.77794457965305</v>
      </c>
      <c r="P24" s="49">
        <v>113.66627624786855</v>
      </c>
      <c r="Q24" s="49">
        <v>103.69625316360698</v>
      </c>
      <c r="R24" s="49">
        <v>109.97365389095502</v>
      </c>
      <c r="S24" s="49">
        <v>101.37801998220193</v>
      </c>
      <c r="T24" s="49">
        <v>100.21355982595563</v>
      </c>
      <c r="U24" s="49">
        <v>101.42076850655231</v>
      </c>
      <c r="V24" s="49">
        <v>102.58108344270119</v>
      </c>
      <c r="W24" s="49">
        <v>89.964239348292082</v>
      </c>
      <c r="X24" s="49">
        <v>110.27562186990806</v>
      </c>
      <c r="Y24" s="49">
        <v>103.22071351402819</v>
      </c>
      <c r="Z24" s="49">
        <v>99.946517210514472</v>
      </c>
      <c r="AA24" s="49">
        <v>99.387349629660733</v>
      </c>
      <c r="AB24" s="49">
        <v>99.174873184229568</v>
      </c>
      <c r="AC24" s="49">
        <v>97.647804247386489</v>
      </c>
      <c r="AD24" s="49">
        <v>98.879371748628515</v>
      </c>
      <c r="AE24" s="49">
        <v>89.244674359958708</v>
      </c>
      <c r="AF24" s="49">
        <v>91.477546154411655</v>
      </c>
      <c r="AG24" s="49">
        <v>93.265432339785903</v>
      </c>
      <c r="AH24" s="49">
        <v>97.93893435997569</v>
      </c>
      <c r="AI24" s="49">
        <v>97.932513037206562</v>
      </c>
      <c r="AJ24" s="49">
        <v>85.916409312846667</v>
      </c>
    </row>
    <row r="25" spans="1:36" s="145" customFormat="1" x14ac:dyDescent="0.25">
      <c r="A25" s="111" t="s">
        <v>286</v>
      </c>
      <c r="B25" s="126">
        <f>65+6.751636853557</f>
        <v>71.751636853557002</v>
      </c>
      <c r="C25" s="126">
        <f>65+5.80242024170866</f>
        <v>70.80242024170866</v>
      </c>
      <c r="D25" s="126">
        <f>65+5.90904999999999</f>
        <v>70.909049999999993</v>
      </c>
      <c r="E25" s="126">
        <f>65+7.14149999999999</f>
        <v>72.141499999999994</v>
      </c>
      <c r="F25" s="126">
        <f>65+4.73181</f>
        <v>69.731809999999996</v>
      </c>
      <c r="G25" s="126">
        <f>65+6.84681</f>
        <v>71.846810000000005</v>
      </c>
      <c r="H25" s="126">
        <f>65+4.94059</f>
        <v>69.94059</v>
      </c>
      <c r="I25" s="126">
        <f>65+4.99317000000001</f>
        <v>69.993170000000006</v>
      </c>
      <c r="J25" s="126">
        <f>65+4.89308</f>
        <v>69.893079999999998</v>
      </c>
      <c r="K25" s="126">
        <f>65+6.72272</f>
        <v>71.722719999999995</v>
      </c>
      <c r="L25" s="126">
        <f>65+5.54984</f>
        <v>70.549840000000003</v>
      </c>
      <c r="M25" s="126">
        <f>65+3.4045</f>
        <v>68.404499999999999</v>
      </c>
      <c r="N25" s="126">
        <f>65+4.68763</f>
        <v>69.687629999999999</v>
      </c>
      <c r="O25" s="126">
        <f>65+6.53149999999999</f>
        <v>71.531499999999994</v>
      </c>
      <c r="P25" s="126">
        <f>65+5.06023999999999</f>
        <v>70.060239999999993</v>
      </c>
      <c r="Q25" s="126">
        <f>65+5.66804</f>
        <v>70.668040000000005</v>
      </c>
      <c r="R25" s="126">
        <f>65+4.92059</f>
        <v>69.920590000000004</v>
      </c>
      <c r="S25" s="126">
        <f>65+4.99399</f>
        <v>69.993989999999997</v>
      </c>
      <c r="T25" s="126">
        <f>65+5.07888</f>
        <v>70.078879999999998</v>
      </c>
      <c r="U25" s="126">
        <f>65+4.78776999999999</f>
        <v>69.787769999999995</v>
      </c>
      <c r="V25" s="126">
        <f>65+5.99126</f>
        <v>70.991259999999997</v>
      </c>
      <c r="W25" s="126">
        <f>65+6.71760999999999</f>
        <v>71.717609999999993</v>
      </c>
      <c r="X25" s="126">
        <f>65+5.45473</f>
        <v>70.454729999999998</v>
      </c>
      <c r="Y25" s="126">
        <f>65+7.33393</f>
        <v>72.333929999999995</v>
      </c>
      <c r="Z25" s="126">
        <f>65+6.96935999999999</f>
        <v>71.969359999999995</v>
      </c>
      <c r="AA25" s="126">
        <f>65+6.74297</f>
        <v>71.74297</v>
      </c>
      <c r="AB25" s="126">
        <f>65+5.58426</f>
        <v>70.58426</v>
      </c>
      <c r="AC25" s="126">
        <f>65+6.20041000000001</f>
        <v>71.200410000000005</v>
      </c>
      <c r="AD25" s="126">
        <f>65+5.99836000000001</f>
        <v>70.998360000000005</v>
      </c>
      <c r="AE25" s="126">
        <f>65+6.4192</f>
        <v>71.419200000000004</v>
      </c>
      <c r="AF25" s="126">
        <f>65+8.72147</f>
        <v>73.721469999999997</v>
      </c>
      <c r="AG25" s="126">
        <f>65+6.38001</f>
        <v>71.380009999999999</v>
      </c>
      <c r="AH25" s="126">
        <f>65+6.88903999999999</f>
        <v>71.889039999999994</v>
      </c>
      <c r="AI25" s="126">
        <f>65+7.98161</f>
        <v>72.981610000000003</v>
      </c>
      <c r="AJ25" s="126">
        <f>65+9.70178</f>
        <v>74.701779999999999</v>
      </c>
    </row>
    <row r="26" spans="1:36" s="7" customFormat="1" x14ac:dyDescent="0.25">
      <c r="A26" s="48" t="s">
        <v>235</v>
      </c>
      <c r="B26" s="49">
        <v>100</v>
      </c>
      <c r="C26" s="49">
        <v>88.55592003440924</v>
      </c>
      <c r="D26" s="49">
        <v>89.672414629830868</v>
      </c>
      <c r="E26" s="49">
        <v>98.595078822498849</v>
      </c>
      <c r="F26" s="49">
        <v>86.415689194102086</v>
      </c>
      <c r="G26" s="49">
        <v>85.185074565835222</v>
      </c>
      <c r="H26" s="49">
        <v>100.70140232230335</v>
      </c>
      <c r="I26" s="49">
        <v>89.689731816219449</v>
      </c>
      <c r="J26" s="49">
        <v>87.146970156112829</v>
      </c>
      <c r="K26" s="49">
        <v>86.227614249737073</v>
      </c>
      <c r="L26" s="49">
        <v>90.242272376713998</v>
      </c>
      <c r="M26" s="49">
        <v>86.646348966705133</v>
      </c>
      <c r="N26" s="49">
        <v>96.766345314172</v>
      </c>
      <c r="O26" s="49">
        <v>95.443350899780285</v>
      </c>
      <c r="P26" s="49">
        <v>87.36742630773972</v>
      </c>
      <c r="Q26" s="49">
        <v>90.977126215470335</v>
      </c>
      <c r="R26" s="49">
        <v>96.11279856243705</v>
      </c>
      <c r="S26" s="49">
        <v>83.416082131741049</v>
      </c>
      <c r="T26" s="49">
        <v>91.283041716282426</v>
      </c>
      <c r="U26" s="49">
        <v>91.747451317052324</v>
      </c>
      <c r="V26" s="49">
        <v>93.309345652217118</v>
      </c>
      <c r="W26" s="49">
        <v>89.938577853338359</v>
      </c>
      <c r="X26" s="49">
        <v>84.817357953747958</v>
      </c>
      <c r="Y26" s="49">
        <v>92.87252123496954</v>
      </c>
      <c r="Z26" s="49">
        <v>87.684189191103769</v>
      </c>
      <c r="AA26" s="49">
        <v>99.99796404844524</v>
      </c>
      <c r="AB26" s="49">
        <v>94.842463844944405</v>
      </c>
      <c r="AC26" s="49">
        <v>91.935622825653695</v>
      </c>
      <c r="AD26" s="49">
        <v>96.110030387661183</v>
      </c>
      <c r="AE26" s="49">
        <v>96.132594230892394</v>
      </c>
      <c r="AF26" s="49">
        <v>86.814370737984518</v>
      </c>
      <c r="AG26" s="49">
        <v>94.262949674424519</v>
      </c>
      <c r="AH26" s="49">
        <v>99.727648562773936</v>
      </c>
      <c r="AI26" s="49">
        <v>101.9435724708555</v>
      </c>
      <c r="AJ26" s="49">
        <v>102.46608155383983</v>
      </c>
    </row>
    <row r="27" spans="1:36" s="7" customFormat="1" x14ac:dyDescent="0.25">
      <c r="A27" s="111" t="s">
        <v>307</v>
      </c>
      <c r="B27" s="126">
        <f>65+7.7150581746045</f>
        <v>72.715058174604494</v>
      </c>
      <c r="C27" s="126">
        <f>65+8.0902564732605</f>
        <v>73.090256473260496</v>
      </c>
      <c r="D27" s="126">
        <f>65+7.94767326385916</f>
        <v>72.947673263859159</v>
      </c>
      <c r="E27" s="126">
        <f>65+10.5266281849868</f>
        <v>75.526628184986805</v>
      </c>
      <c r="F27" s="126">
        <f>65+8.52256673458218</f>
        <v>73.522566734582185</v>
      </c>
      <c r="G27" s="126">
        <f>65+11.0978132950093</f>
        <v>76.097813295009303</v>
      </c>
      <c r="H27" s="126">
        <f>65+6.38894944986774</f>
        <v>71.388949449867738</v>
      </c>
      <c r="I27" s="126">
        <f>65+8.0549615183202</f>
        <v>73.054961518320198</v>
      </c>
      <c r="J27" s="126">
        <f>65+7.58654761019616</f>
        <v>72.586547610196163</v>
      </c>
      <c r="K27" s="126">
        <f>65+10.645253806816</f>
        <v>75.645253806816001</v>
      </c>
      <c r="L27" s="126">
        <f>65+7.90412818498683</f>
        <v>72.904128184986831</v>
      </c>
      <c r="M27" s="126">
        <f>65+7.57476733094762</f>
        <v>72.574767330947623</v>
      </c>
      <c r="N27" s="126">
        <f>65+7.33446335737834</f>
        <v>72.33446335737834</v>
      </c>
      <c r="O27" s="126">
        <f>65+9.92329485165351</f>
        <v>74.923294851653509</v>
      </c>
      <c r="P27" s="126">
        <f>65+8.87238710540107</f>
        <v>73.872387105401074</v>
      </c>
      <c r="Q27" s="126">
        <f>65+9.51600363869103</f>
        <v>74.516003638691032</v>
      </c>
      <c r="R27" s="126">
        <f>65+9.3789494498677</f>
        <v>74.378949449867704</v>
      </c>
      <c r="S27" s="126">
        <f>65+8.76472942837796</f>
        <v>73.764729428377962</v>
      </c>
      <c r="T27" s="126">
        <f>65+8.2610907213005</f>
        <v>73.261090721300505</v>
      </c>
      <c r="U27" s="126">
        <f>65+8.13850418824154</f>
        <v>73.138504188241541</v>
      </c>
      <c r="V27" s="126">
        <f>65+8.31972909913408</f>
        <v>73.319729099134079</v>
      </c>
      <c r="W27" s="126">
        <f>65+9.94029942460904</f>
        <v>74.940299424609037</v>
      </c>
      <c r="X27" s="126">
        <f>65+8.35156618848397</f>
        <v>73.351566188483972</v>
      </c>
      <c r="Y27" s="126">
        <f>65+9.61783833875661</f>
        <v>74.617838338756613</v>
      </c>
      <c r="Z27" s="126">
        <f>65+8.6388420689747</f>
        <v>73.638842068974697</v>
      </c>
      <c r="AA27" s="126">
        <f>65+7.20484283274877</f>
        <v>72.204842832748767</v>
      </c>
      <c r="AB27" s="126">
        <f>65+7.89432237062709</f>
        <v>72.894322370627094</v>
      </c>
      <c r="AC27" s="126">
        <f>65+7.71366215918138</f>
        <v>72.713662159181382</v>
      </c>
      <c r="AD27" s="126">
        <f>65+7.10410614992044</f>
        <v>72.10410614992044</v>
      </c>
      <c r="AE27" s="126">
        <f>65+7.50620095218453</f>
        <v>72.506200952184528</v>
      </c>
      <c r="AF27" s="126">
        <f>65+7.94045179713373</f>
        <v>72.940451797133733</v>
      </c>
      <c r="AG27" s="126">
        <f>65+8.25164484107403</f>
        <v>73.251644841074025</v>
      </c>
      <c r="AH27" s="126">
        <f>65+6.83252756268422</f>
        <v>71.83252756268422</v>
      </c>
      <c r="AI27" s="126">
        <f>65+7.18633110242982</f>
        <v>72.186331102429818</v>
      </c>
      <c r="AJ27" s="126">
        <f>65+9.59624578792284</f>
        <v>74.59624578792284</v>
      </c>
    </row>
    <row r="28" spans="1:36" s="7" customFormat="1" x14ac:dyDescent="0.25">
      <c r="A28" s="48" t="s">
        <v>237</v>
      </c>
      <c r="B28" s="49">
        <v>100</v>
      </c>
      <c r="C28" s="49">
        <v>93.401207077729353</v>
      </c>
      <c r="D28" s="49">
        <v>95.048839261896575</v>
      </c>
      <c r="E28" s="49">
        <v>102.29846020117419</v>
      </c>
      <c r="F28" s="49">
        <v>93.97273596230815</v>
      </c>
      <c r="G28" s="49">
        <v>101.14624529720524</v>
      </c>
      <c r="H28" s="49">
        <v>97.848463396807247</v>
      </c>
      <c r="I28" s="49">
        <v>91.876384552348981</v>
      </c>
      <c r="J28" s="49">
        <v>91.945856553981685</v>
      </c>
      <c r="K28" s="49">
        <v>103.61373924720442</v>
      </c>
      <c r="L28" s="49">
        <v>89.860121006043073</v>
      </c>
      <c r="M28" s="49">
        <v>90.510014325852367</v>
      </c>
      <c r="N28" s="49">
        <v>89.141093291520434</v>
      </c>
      <c r="O28" s="49">
        <v>98.841102763548591</v>
      </c>
      <c r="P28" s="49">
        <v>94.4240413897613</v>
      </c>
      <c r="Q28" s="49">
        <v>97.510631406146217</v>
      </c>
      <c r="R28" s="49">
        <v>95.389334596032739</v>
      </c>
      <c r="S28" s="49">
        <v>93.166680686344975</v>
      </c>
      <c r="T28" s="49">
        <v>97.574739208948756</v>
      </c>
      <c r="U28" s="49">
        <v>94.442384699047693</v>
      </c>
      <c r="V28" s="49">
        <v>97.095299871547169</v>
      </c>
      <c r="W28" s="49">
        <v>93.967146692198384</v>
      </c>
      <c r="X28" s="49">
        <v>91.398595737664351</v>
      </c>
      <c r="Y28" s="49">
        <v>98.273585532068367</v>
      </c>
      <c r="Z28" s="49">
        <v>89.52634029841461</v>
      </c>
      <c r="AA28" s="49">
        <v>96.241792067470911</v>
      </c>
      <c r="AB28" s="49">
        <v>94.3520560921732</v>
      </c>
      <c r="AC28" s="49">
        <v>94.355244601967343</v>
      </c>
      <c r="AD28" s="49">
        <v>100.07404323312967</v>
      </c>
      <c r="AE28" s="49">
        <v>97.936316219606297</v>
      </c>
      <c r="AF28" s="49">
        <v>89.507996989128216</v>
      </c>
      <c r="AG28" s="49">
        <v>97.511419155624765</v>
      </c>
      <c r="AH28" s="49">
        <v>92.123212722296756</v>
      </c>
      <c r="AI28" s="49">
        <v>94.782880033183858</v>
      </c>
      <c r="AJ28" s="49">
        <v>97.156031605155889</v>
      </c>
    </row>
    <row r="29" spans="1:36" s="7" customFormat="1" x14ac:dyDescent="0.25">
      <c r="A29" s="48" t="s">
        <v>238</v>
      </c>
      <c r="B29" s="49">
        <v>100</v>
      </c>
      <c r="C29" s="49">
        <v>99.606355807982339</v>
      </c>
      <c r="D29" s="49">
        <v>103.70984217579226</v>
      </c>
      <c r="E29" s="49">
        <v>106.1438339964117</v>
      </c>
      <c r="F29" s="49">
        <v>99.159439826246427</v>
      </c>
      <c r="G29" s="49">
        <v>106.12957101887901</v>
      </c>
      <c r="H29" s="49">
        <v>101.02309898474965</v>
      </c>
      <c r="I29" s="49">
        <v>98.116023698096129</v>
      </c>
      <c r="J29" s="49">
        <v>97.384762646677814</v>
      </c>
      <c r="K29" s="49">
        <v>106.59099037052806</v>
      </c>
      <c r="L29" s="49">
        <v>92.957278149005091</v>
      </c>
      <c r="M29" s="49">
        <v>100.75883002260059</v>
      </c>
      <c r="N29" s="49">
        <v>97.171404136266531</v>
      </c>
      <c r="O29" s="49">
        <v>103.92936168997142</v>
      </c>
      <c r="P29" s="49">
        <v>103.22819484890545</v>
      </c>
      <c r="Q29" s="49">
        <v>101.75671642438445</v>
      </c>
      <c r="R29" s="49">
        <v>102.91352481951374</v>
      </c>
      <c r="S29" s="49">
        <v>98.089747312330118</v>
      </c>
      <c r="T29" s="49">
        <v>99.147641552586862</v>
      </c>
      <c r="U29" s="49">
        <v>101.14113208860907</v>
      </c>
      <c r="V29" s="49">
        <v>98.180869108179536</v>
      </c>
      <c r="W29" s="49">
        <v>98.273789897966608</v>
      </c>
      <c r="X29" s="49">
        <v>100.00128550013793</v>
      </c>
      <c r="Y29" s="49">
        <v>101.39821295196215</v>
      </c>
      <c r="Z29" s="49">
        <v>95.430480280068437</v>
      </c>
      <c r="AA29" s="49">
        <v>101.72701369085941</v>
      </c>
      <c r="AB29" s="49">
        <v>100.84544066467559</v>
      </c>
      <c r="AC29" s="49">
        <v>100.70145184660494</v>
      </c>
      <c r="AD29" s="49">
        <v>105.89538824027616</v>
      </c>
      <c r="AE29" s="49">
        <v>98.737234634452648</v>
      </c>
      <c r="AF29" s="49">
        <v>101.73460012703794</v>
      </c>
      <c r="AG29" s="49">
        <v>98.503100590315327</v>
      </c>
      <c r="AH29" s="49">
        <v>106.1897384948042</v>
      </c>
      <c r="AI29" s="49">
        <v>99.381623008593394</v>
      </c>
      <c r="AJ29" s="49">
        <v>107.61291921356849</v>
      </c>
    </row>
    <row r="30" spans="1:36" s="7" customFormat="1" ht="13" x14ac:dyDescent="0.25">
      <c r="A30" s="54" t="s">
        <v>239</v>
      </c>
      <c r="B30" s="150"/>
      <c r="C30" s="150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</row>
    <row r="31" spans="1:36" s="7" customFormat="1" x14ac:dyDescent="0.25">
      <c r="A31" s="47" t="s">
        <v>240</v>
      </c>
      <c r="B31" s="126">
        <v>7.4658701251157149</v>
      </c>
      <c r="C31" s="126">
        <v>7.4036283475681266</v>
      </c>
      <c r="D31" s="126">
        <v>7.5935574208146726</v>
      </c>
      <c r="E31" s="126">
        <v>7.6436089266782359</v>
      </c>
      <c r="F31" s="126">
        <v>7.3789974813800114</v>
      </c>
      <c r="G31" s="133" t="s">
        <v>18</v>
      </c>
      <c r="H31" s="126">
        <v>6.9270794973834979</v>
      </c>
      <c r="I31" s="126">
        <v>7.706108926678235</v>
      </c>
      <c r="J31" s="126">
        <v>7.1391601216916722</v>
      </c>
      <c r="K31" s="126">
        <v>7.6207177474704642</v>
      </c>
      <c r="L31" s="126">
        <v>7.6436089266782368</v>
      </c>
      <c r="M31" s="126">
        <v>7.6756948800444942</v>
      </c>
      <c r="N31" s="133" t="s">
        <v>18</v>
      </c>
      <c r="O31" s="126">
        <v>7.393608926678235</v>
      </c>
      <c r="P31" s="133" t="s">
        <v>18</v>
      </c>
      <c r="Q31" s="126">
        <v>7.4254935777495774</v>
      </c>
      <c r="R31" s="126">
        <v>7.5104128307168301</v>
      </c>
      <c r="S31" s="126">
        <v>7.5558267883583383</v>
      </c>
      <c r="T31" s="126">
        <v>7.170899515373109</v>
      </c>
      <c r="U31" s="126">
        <v>7.4857251564305898</v>
      </c>
      <c r="V31" s="133" t="s">
        <v>18</v>
      </c>
      <c r="W31" s="126">
        <v>7.1689271973090376</v>
      </c>
      <c r="X31" s="126">
        <v>7.3413785529575977</v>
      </c>
      <c r="Y31" s="126">
        <v>7.6770794973834979</v>
      </c>
      <c r="Z31" s="126">
        <v>7.3708313400634031</v>
      </c>
      <c r="AA31" s="126">
        <v>7.6292328487064385</v>
      </c>
      <c r="AB31" s="126">
        <v>7.298225156430588</v>
      </c>
      <c r="AC31" s="126">
        <v>6.860725156430588</v>
      </c>
      <c r="AD31" s="126">
        <v>7.4126491642887835</v>
      </c>
      <c r="AE31" s="126">
        <v>7.4245866323972907</v>
      </c>
      <c r="AF31" s="126">
        <v>7.6099031245097164</v>
      </c>
      <c r="AG31" s="126">
        <v>7.204466988514163</v>
      </c>
      <c r="AH31" s="133" t="s">
        <v>18</v>
      </c>
      <c r="AI31" s="126">
        <v>7.420740772637747</v>
      </c>
      <c r="AJ31" s="126">
        <v>7.4232251564305889</v>
      </c>
    </row>
    <row r="32" spans="1:36" s="7" customFormat="1" ht="13" x14ac:dyDescent="0.25">
      <c r="A32" s="54" t="s">
        <v>241</v>
      </c>
      <c r="B32" s="150"/>
      <c r="C32" s="150"/>
      <c r="D32" s="150"/>
      <c r="E32" s="150"/>
      <c r="F32" s="150"/>
      <c r="G32" s="151"/>
      <c r="H32" s="151"/>
      <c r="I32" s="150"/>
      <c r="J32" s="150"/>
      <c r="K32" s="150"/>
      <c r="L32" s="150"/>
      <c r="M32" s="150"/>
      <c r="N32" s="151"/>
      <c r="O32" s="150"/>
      <c r="P32" s="151"/>
      <c r="Q32" s="150"/>
      <c r="R32" s="151"/>
      <c r="S32" s="150"/>
      <c r="T32" s="150"/>
      <c r="U32" s="150"/>
      <c r="V32" s="151"/>
      <c r="W32" s="150"/>
      <c r="X32" s="150"/>
      <c r="Y32" s="151"/>
      <c r="Z32" s="150"/>
      <c r="AA32" s="150"/>
      <c r="AB32" s="150"/>
      <c r="AC32" s="150"/>
      <c r="AD32" s="150"/>
      <c r="AE32" s="150"/>
      <c r="AF32" s="150"/>
      <c r="AG32" s="150"/>
      <c r="AH32" s="151"/>
      <c r="AI32" s="150"/>
      <c r="AJ32" s="150"/>
    </row>
    <row r="33" spans="1:36" s="7" customFormat="1" x14ac:dyDescent="0.25">
      <c r="A33" s="47" t="s">
        <v>242</v>
      </c>
      <c r="B33" s="60">
        <v>5.8125050399999987</v>
      </c>
      <c r="C33" s="60">
        <v>6.0428571428571436</v>
      </c>
      <c r="D33" s="133">
        <v>6.6</v>
      </c>
      <c r="E33" s="133">
        <v>5.2</v>
      </c>
      <c r="F33" s="126">
        <v>4.5999999999999996</v>
      </c>
      <c r="G33" s="126">
        <v>6.6</v>
      </c>
      <c r="H33" s="126">
        <v>6.2</v>
      </c>
      <c r="I33" s="126">
        <v>7.6</v>
      </c>
      <c r="J33" s="126">
        <v>7.5</v>
      </c>
      <c r="K33" s="133">
        <v>6.1</v>
      </c>
      <c r="L33" s="126">
        <v>7.3</v>
      </c>
      <c r="M33" s="126">
        <v>7.3</v>
      </c>
      <c r="N33" s="126">
        <v>7.2</v>
      </c>
      <c r="O33" s="133">
        <v>5.9</v>
      </c>
      <c r="P33" s="126">
        <v>7.4</v>
      </c>
      <c r="Q33" s="133">
        <v>2.8</v>
      </c>
      <c r="R33" s="126">
        <v>6.3</v>
      </c>
      <c r="S33" s="126">
        <v>5.9</v>
      </c>
      <c r="T33" s="133">
        <v>5.3</v>
      </c>
      <c r="U33" s="133">
        <v>7.1</v>
      </c>
      <c r="V33" s="126">
        <v>4</v>
      </c>
      <c r="W33" s="126">
        <v>5.4</v>
      </c>
      <c r="X33" s="126">
        <v>6.8</v>
      </c>
      <c r="Y33" s="126">
        <v>4.7</v>
      </c>
      <c r="Z33" s="133">
        <v>7.7</v>
      </c>
      <c r="AA33" s="126">
        <v>5.5</v>
      </c>
      <c r="AB33" s="133">
        <v>6.8</v>
      </c>
      <c r="AC33" s="126">
        <v>6.2</v>
      </c>
      <c r="AD33" s="133">
        <v>6.6</v>
      </c>
      <c r="AE33" s="133">
        <v>7.5</v>
      </c>
      <c r="AF33" s="133">
        <v>6.7</v>
      </c>
      <c r="AG33" s="133">
        <v>8.5</v>
      </c>
      <c r="AH33" s="126">
        <v>6.3</v>
      </c>
      <c r="AI33" s="126">
        <v>3.5</v>
      </c>
      <c r="AJ33" s="133">
        <v>4.3</v>
      </c>
    </row>
    <row r="34" spans="1:36" s="7" customFormat="1" x14ac:dyDescent="0.25">
      <c r="A34" s="47" t="s">
        <v>243</v>
      </c>
      <c r="B34" s="60">
        <v>5.3193624319999993</v>
      </c>
      <c r="C34" s="60">
        <v>4.4142857142857146</v>
      </c>
      <c r="D34" s="133">
        <v>4.7</v>
      </c>
      <c r="E34" s="133">
        <v>6.4</v>
      </c>
      <c r="F34" s="133">
        <v>4.5</v>
      </c>
      <c r="G34" s="133">
        <v>5.2</v>
      </c>
      <c r="H34" s="133">
        <v>3.8</v>
      </c>
      <c r="I34" s="133">
        <v>4.4000000000000004</v>
      </c>
      <c r="J34" s="126">
        <v>4.5</v>
      </c>
      <c r="K34" s="126">
        <v>4.5</v>
      </c>
      <c r="L34" s="133">
        <v>4.7</v>
      </c>
      <c r="M34" s="126">
        <v>3.8</v>
      </c>
      <c r="N34" s="133">
        <v>4.3</v>
      </c>
      <c r="O34" s="133">
        <v>5</v>
      </c>
      <c r="P34" s="133">
        <v>4.7</v>
      </c>
      <c r="Q34" s="133">
        <v>4.7</v>
      </c>
      <c r="R34" s="133">
        <v>4.8</v>
      </c>
      <c r="S34" s="126">
        <v>4.0999999999999996</v>
      </c>
      <c r="T34" s="133">
        <v>4.5999999999999996</v>
      </c>
      <c r="U34" s="126">
        <v>4.9000000000000004</v>
      </c>
      <c r="V34" s="133">
        <v>5.8</v>
      </c>
      <c r="W34" s="126">
        <v>5</v>
      </c>
      <c r="X34" s="133">
        <v>4.5</v>
      </c>
      <c r="Y34" s="133">
        <v>5</v>
      </c>
      <c r="Z34" s="133">
        <v>4.5999999999999996</v>
      </c>
      <c r="AA34" s="133">
        <v>4.4000000000000004</v>
      </c>
      <c r="AB34" s="126">
        <v>3.6</v>
      </c>
      <c r="AC34" s="126">
        <v>4.7</v>
      </c>
      <c r="AD34" s="133">
        <v>6.1</v>
      </c>
      <c r="AE34" s="133">
        <v>4.4000000000000004</v>
      </c>
      <c r="AF34" s="133">
        <v>4.3</v>
      </c>
      <c r="AG34" s="133">
        <v>4.5</v>
      </c>
      <c r="AH34" s="133">
        <v>5</v>
      </c>
      <c r="AI34" s="126">
        <v>2.9</v>
      </c>
      <c r="AJ34" s="126">
        <v>4.4000000000000004</v>
      </c>
    </row>
    <row r="35" spans="1:36" s="7" customFormat="1" x14ac:dyDescent="0.25">
      <c r="A35" s="47" t="s">
        <v>244</v>
      </c>
      <c r="B35" s="60">
        <v>6.6860034999999991</v>
      </c>
      <c r="C35" s="60">
        <v>6.9</v>
      </c>
      <c r="D35" s="133">
        <v>7.5</v>
      </c>
      <c r="E35" s="133">
        <v>7</v>
      </c>
      <c r="F35" s="126">
        <v>7.5</v>
      </c>
      <c r="G35" s="133" t="s">
        <v>18</v>
      </c>
      <c r="H35" s="133" t="s">
        <v>18</v>
      </c>
      <c r="I35" s="133">
        <v>6.8</v>
      </c>
      <c r="J35" s="126">
        <v>5.7</v>
      </c>
      <c r="K35" s="126" t="s">
        <v>343</v>
      </c>
      <c r="L35" s="133">
        <v>7.3</v>
      </c>
      <c r="M35" s="126" t="s">
        <v>344</v>
      </c>
      <c r="N35" s="133" t="s">
        <v>18</v>
      </c>
      <c r="O35" s="133">
        <v>6.2</v>
      </c>
      <c r="P35" s="133" t="s">
        <v>18</v>
      </c>
      <c r="Q35" s="133">
        <v>6.4</v>
      </c>
      <c r="R35" s="133" t="s">
        <v>18</v>
      </c>
      <c r="S35" s="126">
        <v>5.6</v>
      </c>
      <c r="T35" s="126">
        <v>5.9</v>
      </c>
      <c r="U35" s="133">
        <v>7.3</v>
      </c>
      <c r="V35" s="133" t="s">
        <v>18</v>
      </c>
      <c r="W35" s="126">
        <v>5.3</v>
      </c>
      <c r="X35" s="126">
        <v>8.3000000000000007</v>
      </c>
      <c r="Y35" s="133" t="s">
        <v>18</v>
      </c>
      <c r="Z35" s="133">
        <v>8.1999999999999993</v>
      </c>
      <c r="AA35" s="126">
        <v>6.7</v>
      </c>
      <c r="AB35" s="133">
        <v>7.5</v>
      </c>
      <c r="AC35" s="133">
        <v>7</v>
      </c>
      <c r="AD35" s="133">
        <v>7.5</v>
      </c>
      <c r="AE35" s="133">
        <v>7</v>
      </c>
      <c r="AF35" s="133" t="s">
        <v>345</v>
      </c>
      <c r="AG35" s="133">
        <v>7</v>
      </c>
      <c r="AH35" s="133" t="s">
        <v>18</v>
      </c>
      <c r="AI35" s="126">
        <v>7.3</v>
      </c>
      <c r="AJ35" s="133">
        <v>6.3</v>
      </c>
    </row>
    <row r="36" spans="1:36" s="7" customFormat="1" ht="13" x14ac:dyDescent="0.25">
      <c r="A36" s="54" t="s">
        <v>245</v>
      </c>
      <c r="B36" s="60"/>
      <c r="C36" s="60"/>
      <c r="D36" s="133"/>
      <c r="E36" s="133"/>
      <c r="F36" s="126"/>
      <c r="G36" s="133"/>
      <c r="H36" s="133"/>
      <c r="I36" s="133"/>
      <c r="J36" s="126"/>
      <c r="K36" s="126"/>
      <c r="L36" s="133"/>
      <c r="M36" s="126"/>
      <c r="N36" s="133"/>
      <c r="O36" s="133"/>
      <c r="P36" s="133"/>
      <c r="Q36" s="133"/>
      <c r="R36" s="133"/>
      <c r="S36" s="126"/>
      <c r="T36" s="126"/>
      <c r="U36" s="133"/>
      <c r="V36" s="133"/>
      <c r="W36" s="126"/>
      <c r="X36" s="126"/>
      <c r="Y36" s="133"/>
      <c r="Z36" s="133"/>
      <c r="AA36" s="126"/>
      <c r="AB36" s="133"/>
      <c r="AC36" s="133"/>
      <c r="AD36" s="133"/>
      <c r="AE36" s="133"/>
      <c r="AF36" s="133"/>
      <c r="AG36" s="133"/>
      <c r="AH36" s="133"/>
      <c r="AI36" s="126"/>
      <c r="AJ36" s="133"/>
    </row>
    <row r="37" spans="1:36" s="7" customFormat="1" x14ac:dyDescent="0.25">
      <c r="A37" s="47" t="s">
        <v>246</v>
      </c>
      <c r="B37" s="134" t="s">
        <v>18</v>
      </c>
      <c r="C37" s="134" t="s">
        <v>18</v>
      </c>
      <c r="D37" s="134">
        <v>2021</v>
      </c>
      <c r="E37" s="134">
        <v>2023</v>
      </c>
      <c r="F37" s="134">
        <v>2018</v>
      </c>
      <c r="G37" s="134">
        <v>2025</v>
      </c>
      <c r="H37" s="134">
        <v>2024</v>
      </c>
      <c r="I37" s="134">
        <v>2023</v>
      </c>
      <c r="J37" s="134">
        <v>2010</v>
      </c>
      <c r="K37" s="134">
        <v>2020</v>
      </c>
      <c r="L37" s="134">
        <v>2023</v>
      </c>
      <c r="M37" s="134">
        <v>2019</v>
      </c>
      <c r="N37" s="134">
        <v>2025</v>
      </c>
      <c r="O37" s="134">
        <v>2023</v>
      </c>
      <c r="P37" s="134">
        <v>2025</v>
      </c>
      <c r="Q37" s="134">
        <v>2020</v>
      </c>
      <c r="R37" s="134">
        <v>2024</v>
      </c>
      <c r="S37" s="134">
        <v>2001</v>
      </c>
      <c r="T37" s="134">
        <v>2018</v>
      </c>
      <c r="U37" s="134">
        <v>2022</v>
      </c>
      <c r="V37" s="134">
        <v>2025</v>
      </c>
      <c r="W37" s="34">
        <v>2009</v>
      </c>
      <c r="X37" s="134">
        <v>2015</v>
      </c>
      <c r="Y37" s="134">
        <v>2024</v>
      </c>
      <c r="Z37" s="134">
        <v>2021</v>
      </c>
      <c r="AA37" s="134">
        <v>2018</v>
      </c>
      <c r="AB37" s="134">
        <v>2022</v>
      </c>
      <c r="AC37" s="134">
        <v>2022</v>
      </c>
      <c r="AD37" s="134">
        <v>2021</v>
      </c>
      <c r="AE37" s="134">
        <v>2020</v>
      </c>
      <c r="AF37" s="134">
        <v>2017</v>
      </c>
      <c r="AG37" s="134">
        <v>2021</v>
      </c>
      <c r="AH37" s="134">
        <v>2025</v>
      </c>
      <c r="AI37" s="34">
        <v>2009</v>
      </c>
      <c r="AJ37" s="134">
        <v>2022</v>
      </c>
    </row>
    <row r="38" spans="1:36" s="7" customFormat="1" x14ac:dyDescent="0.25">
      <c r="A38" s="47" t="s">
        <v>247</v>
      </c>
      <c r="B38" s="134" t="s">
        <v>18</v>
      </c>
      <c r="C38" s="134" t="s">
        <v>18</v>
      </c>
      <c r="D38" s="58" t="s">
        <v>156</v>
      </c>
      <c r="E38" s="58" t="s">
        <v>151</v>
      </c>
      <c r="F38" s="58" t="s">
        <v>148</v>
      </c>
      <c r="G38" s="58" t="s">
        <v>151</v>
      </c>
      <c r="H38" s="58" t="s">
        <v>156</v>
      </c>
      <c r="I38" s="152" t="s">
        <v>165</v>
      </c>
      <c r="J38" s="58" t="s">
        <v>156</v>
      </c>
      <c r="K38" s="58" t="s">
        <v>151</v>
      </c>
      <c r="L38" s="58" t="s">
        <v>156</v>
      </c>
      <c r="M38" s="58" t="s">
        <v>148</v>
      </c>
      <c r="N38" s="58" t="s">
        <v>156</v>
      </c>
      <c r="O38" s="58" t="s">
        <v>154</v>
      </c>
      <c r="P38" s="58" t="s">
        <v>156</v>
      </c>
      <c r="Q38" s="58" t="s">
        <v>148</v>
      </c>
      <c r="R38" s="58" t="s">
        <v>156</v>
      </c>
      <c r="S38" s="58" t="s">
        <v>151</v>
      </c>
      <c r="T38" s="58" t="s">
        <v>154</v>
      </c>
      <c r="U38" s="58" t="s">
        <v>148</v>
      </c>
      <c r="V38" s="58" t="s">
        <v>154</v>
      </c>
      <c r="W38" s="58" t="s">
        <v>148</v>
      </c>
      <c r="X38" s="58" t="s">
        <v>148</v>
      </c>
      <c r="Y38" s="58" t="s">
        <v>154</v>
      </c>
      <c r="Z38" s="58" t="s">
        <v>156</v>
      </c>
      <c r="AA38" s="58" t="s">
        <v>151</v>
      </c>
      <c r="AB38" s="58" t="s">
        <v>156</v>
      </c>
      <c r="AC38" s="58" t="s">
        <v>154</v>
      </c>
      <c r="AD38" s="58" t="s">
        <v>151</v>
      </c>
      <c r="AE38" s="58" t="s">
        <v>156</v>
      </c>
      <c r="AF38" s="58" t="s">
        <v>151</v>
      </c>
      <c r="AG38" s="58" t="s">
        <v>346</v>
      </c>
      <c r="AH38" s="58" t="s">
        <v>151</v>
      </c>
      <c r="AI38" s="58" t="s">
        <v>151</v>
      </c>
      <c r="AJ38" s="58" t="s">
        <v>151</v>
      </c>
    </row>
    <row r="39" spans="1:36" s="7" customFormat="1" x14ac:dyDescent="0.25">
      <c r="A39" s="47" t="s">
        <v>248</v>
      </c>
      <c r="B39" s="134" t="s">
        <v>18</v>
      </c>
      <c r="C39" s="134" t="s">
        <v>18</v>
      </c>
      <c r="D39" s="58" t="s">
        <v>156</v>
      </c>
      <c r="E39" s="58" t="s">
        <v>267</v>
      </c>
      <c r="F39" s="58" t="s">
        <v>249</v>
      </c>
      <c r="G39" s="58" t="s">
        <v>267</v>
      </c>
      <c r="H39" s="58" t="s">
        <v>156</v>
      </c>
      <c r="I39" s="152" t="s">
        <v>162</v>
      </c>
      <c r="J39" s="58" t="s">
        <v>156</v>
      </c>
      <c r="K39" s="58" t="s">
        <v>267</v>
      </c>
      <c r="L39" s="58" t="s">
        <v>289</v>
      </c>
      <c r="M39" s="58" t="s">
        <v>249</v>
      </c>
      <c r="N39" s="58" t="s">
        <v>156</v>
      </c>
      <c r="O39" s="58" t="s">
        <v>308</v>
      </c>
      <c r="P39" s="58" t="s">
        <v>289</v>
      </c>
      <c r="Q39" s="58" t="s">
        <v>249</v>
      </c>
      <c r="R39" s="58" t="s">
        <v>289</v>
      </c>
      <c r="S39" s="58" t="s">
        <v>267</v>
      </c>
      <c r="T39" s="58" t="s">
        <v>308</v>
      </c>
      <c r="U39" s="58" t="s">
        <v>249</v>
      </c>
      <c r="V39" s="58" t="s">
        <v>308</v>
      </c>
      <c r="W39" s="58" t="s">
        <v>249</v>
      </c>
      <c r="X39" s="58" t="s">
        <v>249</v>
      </c>
      <c r="Y39" s="58" t="s">
        <v>308</v>
      </c>
      <c r="Z39" s="58" t="s">
        <v>156</v>
      </c>
      <c r="AA39" s="58" t="s">
        <v>267</v>
      </c>
      <c r="AB39" s="58" t="s">
        <v>156</v>
      </c>
      <c r="AC39" s="58" t="s">
        <v>308</v>
      </c>
      <c r="AD39" s="58" t="s">
        <v>267</v>
      </c>
      <c r="AE39" s="58" t="s">
        <v>156</v>
      </c>
      <c r="AF39" s="58" t="s">
        <v>267</v>
      </c>
      <c r="AG39" s="58" t="s">
        <v>267</v>
      </c>
      <c r="AH39" s="58" t="s">
        <v>267</v>
      </c>
      <c r="AI39" s="58" t="s">
        <v>267</v>
      </c>
      <c r="AJ39" s="58" t="s">
        <v>267</v>
      </c>
    </row>
    <row r="40" spans="1:36" s="7" customFormat="1" ht="13" x14ac:dyDescent="0.25">
      <c r="A40" s="53" t="s">
        <v>250</v>
      </c>
      <c r="B40" s="134"/>
      <c r="C40" s="134"/>
      <c r="D40" s="134"/>
      <c r="E40" s="134"/>
      <c r="F40" s="134"/>
      <c r="G40" s="34"/>
      <c r="H40" s="34"/>
      <c r="I40" s="134"/>
      <c r="J40" s="134"/>
      <c r="K40" s="134"/>
      <c r="L40" s="134"/>
      <c r="M40" s="134"/>
      <c r="N40" s="34"/>
      <c r="O40" s="134"/>
      <c r="P40" s="34"/>
      <c r="Q40" s="134"/>
      <c r="R40" s="34"/>
      <c r="S40" s="134"/>
      <c r="T40" s="134"/>
      <c r="U40" s="134"/>
      <c r="V40" s="34"/>
      <c r="W40" s="134"/>
      <c r="X40" s="134"/>
      <c r="Y40" s="34"/>
      <c r="Z40" s="134"/>
      <c r="AA40" s="134"/>
      <c r="AB40" s="134"/>
      <c r="AC40" s="134"/>
      <c r="AD40" s="134"/>
      <c r="AE40" s="134"/>
      <c r="AF40" s="134"/>
      <c r="AG40" s="134"/>
      <c r="AH40" s="34"/>
      <c r="AI40" s="34"/>
      <c r="AJ40" s="134"/>
    </row>
    <row r="41" spans="1:36" s="7" customFormat="1" x14ac:dyDescent="0.25">
      <c r="A41" s="47" t="s">
        <v>251</v>
      </c>
      <c r="B41" s="134" t="s">
        <v>18</v>
      </c>
      <c r="C41" s="134" t="s">
        <v>18</v>
      </c>
      <c r="D41" s="134">
        <v>13</v>
      </c>
      <c r="E41" s="134">
        <v>12</v>
      </c>
      <c r="F41" s="134">
        <v>14</v>
      </c>
      <c r="G41" s="34">
        <v>5</v>
      </c>
      <c r="H41" s="34">
        <v>9</v>
      </c>
      <c r="I41" s="134">
        <v>12</v>
      </c>
      <c r="J41" s="134">
        <v>11</v>
      </c>
      <c r="K41" s="134">
        <v>8</v>
      </c>
      <c r="L41" s="134">
        <v>12</v>
      </c>
      <c r="M41" s="134">
        <v>12</v>
      </c>
      <c r="N41" s="34">
        <v>5</v>
      </c>
      <c r="O41" s="134">
        <v>12</v>
      </c>
      <c r="P41" s="34">
        <v>5</v>
      </c>
      <c r="Q41" s="134">
        <v>12</v>
      </c>
      <c r="R41" s="34">
        <v>9</v>
      </c>
      <c r="S41" s="134">
        <v>11</v>
      </c>
      <c r="T41" s="134">
        <v>12</v>
      </c>
      <c r="U41" s="134">
        <v>13</v>
      </c>
      <c r="V41" s="34">
        <v>5</v>
      </c>
      <c r="W41" s="134">
        <v>28</v>
      </c>
      <c r="X41" s="134">
        <v>12</v>
      </c>
      <c r="Y41" s="34">
        <v>9</v>
      </c>
      <c r="Z41" s="134">
        <v>13</v>
      </c>
      <c r="AA41" s="134">
        <v>12</v>
      </c>
      <c r="AB41" s="134">
        <v>13</v>
      </c>
      <c r="AC41" s="134">
        <v>13</v>
      </c>
      <c r="AD41" s="134">
        <v>13</v>
      </c>
      <c r="AE41" s="134">
        <v>12</v>
      </c>
      <c r="AF41" s="134">
        <v>12</v>
      </c>
      <c r="AG41" s="134">
        <v>13</v>
      </c>
      <c r="AH41" s="34">
        <v>5</v>
      </c>
      <c r="AI41" s="34">
        <v>28</v>
      </c>
      <c r="AJ41" s="134">
        <v>13</v>
      </c>
    </row>
    <row r="42" spans="1:36" s="7" customFormat="1" x14ac:dyDescent="0.25">
      <c r="A42" s="47" t="s">
        <v>252</v>
      </c>
      <c r="B42" s="134" t="s">
        <v>18</v>
      </c>
      <c r="C42" s="134" t="s">
        <v>18</v>
      </c>
      <c r="D42" s="34">
        <v>12</v>
      </c>
      <c r="E42" s="34">
        <v>9</v>
      </c>
      <c r="F42" s="34">
        <v>11</v>
      </c>
      <c r="G42" s="34">
        <v>5</v>
      </c>
      <c r="H42" s="34">
        <v>6</v>
      </c>
      <c r="I42" s="34">
        <v>9</v>
      </c>
      <c r="J42" s="34">
        <v>10</v>
      </c>
      <c r="K42" s="34">
        <v>7</v>
      </c>
      <c r="L42" s="34">
        <v>9</v>
      </c>
      <c r="M42" s="34">
        <v>9</v>
      </c>
      <c r="N42" s="34">
        <v>5</v>
      </c>
      <c r="O42" s="34">
        <v>9</v>
      </c>
      <c r="P42" s="34">
        <v>5</v>
      </c>
      <c r="Q42" s="34">
        <v>11</v>
      </c>
      <c r="R42" s="34">
        <v>6</v>
      </c>
      <c r="S42" s="34">
        <v>10</v>
      </c>
      <c r="T42" s="34">
        <v>11</v>
      </c>
      <c r="U42" s="34">
        <v>12</v>
      </c>
      <c r="V42" s="34">
        <v>5</v>
      </c>
      <c r="W42" s="34">
        <v>25</v>
      </c>
      <c r="X42" s="34">
        <v>11</v>
      </c>
      <c r="Y42" s="34">
        <v>6</v>
      </c>
      <c r="Z42" s="34">
        <v>12</v>
      </c>
      <c r="AA42" s="34">
        <v>11</v>
      </c>
      <c r="AB42" s="34">
        <v>12</v>
      </c>
      <c r="AC42" s="34">
        <v>12</v>
      </c>
      <c r="AD42" s="34">
        <v>12</v>
      </c>
      <c r="AE42" s="34">
        <v>11</v>
      </c>
      <c r="AF42" s="34">
        <v>11</v>
      </c>
      <c r="AG42" s="34">
        <v>12</v>
      </c>
      <c r="AH42" s="34">
        <v>5</v>
      </c>
      <c r="AI42" s="34">
        <v>25</v>
      </c>
      <c r="AJ42" s="34">
        <v>12</v>
      </c>
    </row>
    <row r="43" spans="1:36" s="7" customFormat="1" x14ac:dyDescent="0.25">
      <c r="A43" s="47" t="s">
        <v>253</v>
      </c>
      <c r="B43" s="134" t="s">
        <v>18</v>
      </c>
      <c r="C43" s="134" t="s">
        <v>18</v>
      </c>
      <c r="D43" s="34">
        <v>11</v>
      </c>
      <c r="E43" s="34">
        <v>6</v>
      </c>
      <c r="F43" s="34">
        <v>12</v>
      </c>
      <c r="G43" s="34">
        <v>5</v>
      </c>
      <c r="H43" s="34">
        <v>6</v>
      </c>
      <c r="I43" s="34">
        <v>6</v>
      </c>
      <c r="J43" s="34">
        <v>10</v>
      </c>
      <c r="K43" s="34">
        <v>6</v>
      </c>
      <c r="L43" s="34">
        <v>6</v>
      </c>
      <c r="M43" s="34">
        <v>8</v>
      </c>
      <c r="N43" s="34">
        <v>5</v>
      </c>
      <c r="O43" s="34">
        <v>6</v>
      </c>
      <c r="P43" s="34">
        <v>5</v>
      </c>
      <c r="Q43" s="34">
        <v>12</v>
      </c>
      <c r="R43" s="34">
        <v>6</v>
      </c>
      <c r="S43" s="34">
        <v>10</v>
      </c>
      <c r="T43" s="34">
        <v>12</v>
      </c>
      <c r="U43" s="34">
        <v>9</v>
      </c>
      <c r="V43" s="34">
        <v>5</v>
      </c>
      <c r="W43" s="34">
        <v>25</v>
      </c>
      <c r="X43" s="34">
        <v>12</v>
      </c>
      <c r="Y43" s="34">
        <v>6</v>
      </c>
      <c r="Z43" s="34">
        <v>11</v>
      </c>
      <c r="AA43" s="34">
        <v>12</v>
      </c>
      <c r="AB43" s="34">
        <v>9</v>
      </c>
      <c r="AC43" s="34">
        <v>9</v>
      </c>
      <c r="AD43" s="34">
        <v>11</v>
      </c>
      <c r="AE43" s="34">
        <v>12</v>
      </c>
      <c r="AF43" s="34">
        <v>12</v>
      </c>
      <c r="AG43" s="34">
        <v>11</v>
      </c>
      <c r="AH43" s="34">
        <v>5</v>
      </c>
      <c r="AI43" s="34">
        <v>27</v>
      </c>
      <c r="AJ43" s="34">
        <v>9</v>
      </c>
    </row>
    <row r="44" spans="1:36" x14ac:dyDescent="0.25">
      <c r="A44" s="93" t="s">
        <v>254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</row>
    <row r="45" spans="1:36" ht="13" x14ac:dyDescent="0.3">
      <c r="A45" s="94" t="s">
        <v>255</v>
      </c>
      <c r="B45" s="143"/>
      <c r="C45" s="143"/>
      <c r="D45" s="113"/>
      <c r="E45" s="113"/>
      <c r="F45" s="113"/>
      <c r="G45" s="95"/>
      <c r="H45" s="95"/>
      <c r="I45" s="113"/>
      <c r="J45" s="113"/>
      <c r="K45" s="113"/>
      <c r="L45" s="113"/>
      <c r="M45" s="113"/>
      <c r="N45" s="95"/>
      <c r="O45" s="113"/>
      <c r="P45" s="95"/>
      <c r="Q45" s="113"/>
      <c r="R45" s="95"/>
      <c r="S45" s="113"/>
      <c r="T45" s="113"/>
      <c r="U45" s="113"/>
      <c r="V45" s="95"/>
      <c r="W45" s="113"/>
      <c r="X45" s="114"/>
      <c r="Y45" s="95"/>
      <c r="Z45" s="113"/>
      <c r="AA45" s="113"/>
      <c r="AB45" s="113"/>
      <c r="AC45" s="113"/>
      <c r="AD45" s="113"/>
      <c r="AE45" s="113"/>
      <c r="AF45" s="113"/>
      <c r="AG45" s="113"/>
      <c r="AH45" s="95"/>
      <c r="AI45" s="114"/>
      <c r="AJ45" s="113"/>
    </row>
    <row r="46" spans="1:36" ht="13" x14ac:dyDescent="0.3">
      <c r="A46" s="94" t="s">
        <v>256</v>
      </c>
      <c r="B46" s="143"/>
      <c r="C46" s="143"/>
      <c r="D46" s="113"/>
      <c r="E46" s="113"/>
      <c r="F46" s="113"/>
      <c r="G46" s="95"/>
      <c r="H46" s="95"/>
      <c r="I46" s="113"/>
      <c r="J46" s="113"/>
      <c r="K46" s="113"/>
      <c r="L46" s="113"/>
      <c r="M46" s="113"/>
      <c r="N46" s="95"/>
      <c r="O46" s="113"/>
      <c r="P46" s="95"/>
      <c r="Q46" s="113"/>
      <c r="R46" s="95"/>
      <c r="S46" s="113"/>
      <c r="T46" s="113"/>
      <c r="U46" s="113"/>
      <c r="V46" s="95"/>
      <c r="W46" s="113"/>
      <c r="X46" s="114"/>
      <c r="Y46" s="95"/>
      <c r="Z46" s="113"/>
      <c r="AA46" s="113"/>
      <c r="AB46" s="113"/>
      <c r="AC46" s="113"/>
      <c r="AD46" s="113"/>
      <c r="AE46" s="113"/>
      <c r="AF46" s="113"/>
      <c r="AG46" s="113"/>
      <c r="AH46" s="95"/>
      <c r="AI46" s="114"/>
      <c r="AJ46" s="113"/>
    </row>
    <row r="47" spans="1:36" ht="13" x14ac:dyDescent="0.3">
      <c r="A47" s="94" t="s">
        <v>257</v>
      </c>
      <c r="B47" s="143"/>
      <c r="C47" s="143"/>
      <c r="D47" s="113"/>
      <c r="E47" s="113"/>
      <c r="F47" s="113"/>
      <c r="G47" s="95"/>
      <c r="H47" s="95"/>
      <c r="I47" s="113"/>
      <c r="J47" s="113"/>
      <c r="K47" s="113"/>
      <c r="L47" s="113"/>
      <c r="M47" s="113"/>
      <c r="N47" s="95"/>
      <c r="O47" s="113"/>
      <c r="P47" s="95"/>
      <c r="Q47" s="113"/>
      <c r="R47" s="95"/>
      <c r="S47" s="113"/>
      <c r="T47" s="113"/>
      <c r="U47" s="113"/>
      <c r="V47" s="95"/>
      <c r="W47" s="113"/>
      <c r="X47" s="114"/>
      <c r="Y47" s="95"/>
      <c r="Z47" s="113"/>
      <c r="AA47" s="113"/>
      <c r="AB47" s="113"/>
      <c r="AC47" s="113"/>
      <c r="AD47" s="113"/>
      <c r="AE47" s="113"/>
      <c r="AF47" s="113"/>
      <c r="AG47" s="113"/>
      <c r="AH47" s="95"/>
      <c r="AI47" s="114"/>
      <c r="AJ47" s="113"/>
    </row>
    <row r="48" spans="1:36" x14ac:dyDescent="0.25">
      <c r="A48" s="93" t="s">
        <v>258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</row>
    <row r="49" spans="1:36" x14ac:dyDescent="0.25">
      <c r="A49" s="115" t="s">
        <v>259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</row>
  </sheetData>
  <sheetProtection algorithmName="SHA-512" hashValue="3vq6/WM/k8znaU/MMC7RtS6tqmEt8wQtYurn+tSu336vkfZ9DgfvAsylnmUYCk+9BPCF6dUscsW7pRSY60loDQ==" saltValue="LkJK/WvaugeyrHBt7f0+kA==" spinCount="100000" sheet="1" objects="1" scenarios="1"/>
  <sortState xmlns:xlrd2="http://schemas.microsoft.com/office/spreadsheetml/2017/richdata2" columnSort="1" ref="D1:AJ68">
    <sortCondition ref="D5:AJ5"/>
  </sortState>
  <phoneticPr fontId="8" type="noConversion"/>
  <conditionalFormatting sqref="AC25">
    <cfRule type="cellIs" dxfId="3" priority="1" stopIfTrue="1" operator="greaterThan">
      <formula>"7.5+1.35"</formula>
    </cfRule>
    <cfRule type="aboveAverage" priority="2" stopIfTrue="1"/>
    <cfRule type="cellIs" dxfId="2" priority="3" stopIfTrue="1" operator="greaterThan">
      <formula>"7.5+$Z$37"</formula>
    </cfRule>
  </conditionalFormatting>
  <printOptions horizontalCentered="1" verticalCentered="1"/>
  <pageMargins left="0.39370078740157483" right="0.39370078740157483" top="0.39370078740157483" bottom="0.39370078740157483" header="0.19685039370078741" footer="0.15748031496062992"/>
  <pageSetup paperSize="8" scale="50" orientation="landscape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71"/>
  <sheetViews>
    <sheetView topLeftCell="D1" zoomScale="85" zoomScaleNormal="85" workbookViewId="0">
      <selection activeCell="L24" sqref="L24"/>
    </sheetView>
  </sheetViews>
  <sheetFormatPr defaultColWidth="9.26953125" defaultRowHeight="12.5" x14ac:dyDescent="0.25"/>
  <cols>
    <col min="1" max="1" width="144.1796875" bestFit="1" customWidth="1"/>
    <col min="2" max="2" width="24.1796875" style="118" bestFit="1" customWidth="1"/>
    <col min="3" max="3" width="41.1796875" style="118" bestFit="1" customWidth="1"/>
    <col min="4" max="4" width="12.26953125" style="118" bestFit="1" customWidth="1"/>
    <col min="5" max="5" width="13.54296875" style="118" bestFit="1" customWidth="1"/>
    <col min="6" max="6" width="10.81640625" style="118" bestFit="1" customWidth="1"/>
    <col min="7" max="7" width="11.54296875" style="118" bestFit="1" customWidth="1"/>
    <col min="8" max="8" width="12.26953125" style="118" bestFit="1" customWidth="1"/>
    <col min="9" max="9" width="12.453125" style="118" bestFit="1" customWidth="1"/>
    <col min="10" max="10" width="12.81640625" style="118" bestFit="1" customWidth="1"/>
    <col min="11" max="11" width="11.7265625" style="118" bestFit="1" customWidth="1"/>
    <col min="12" max="12" width="16.54296875" style="118" bestFit="1" customWidth="1"/>
    <col min="13" max="13" width="14.81640625" style="118" bestFit="1" customWidth="1"/>
    <col min="14" max="14" width="6.26953125" customWidth="1"/>
    <col min="15" max="15" width="6.54296875" customWidth="1"/>
  </cols>
  <sheetData>
    <row r="1" spans="1:15" ht="14" x14ac:dyDescent="0.3">
      <c r="A1" s="9" t="s">
        <v>189</v>
      </c>
      <c r="B1" s="109"/>
      <c r="C1" s="109"/>
      <c r="D1" s="3"/>
      <c r="E1" s="3"/>
      <c r="F1" s="2"/>
      <c r="G1" s="3"/>
      <c r="H1" s="2"/>
      <c r="I1" s="3"/>
      <c r="J1" s="2"/>
      <c r="K1" s="3"/>
      <c r="L1" s="3"/>
      <c r="M1" s="2"/>
    </row>
    <row r="2" spans="1:15" ht="14" x14ac:dyDescent="0.3">
      <c r="A2" s="100"/>
      <c r="B2" s="109"/>
      <c r="C2" s="109"/>
      <c r="D2" s="3"/>
      <c r="E2" s="3"/>
      <c r="F2" s="2"/>
      <c r="G2" s="3"/>
      <c r="H2" s="3"/>
      <c r="I2" s="2"/>
      <c r="J2" s="3"/>
      <c r="K2" s="2"/>
      <c r="L2" s="3"/>
      <c r="M2" s="2"/>
      <c r="N2" s="2"/>
    </row>
    <row r="3" spans="1:15" ht="14" x14ac:dyDescent="0.25">
      <c r="A3" s="88" t="s">
        <v>189</v>
      </c>
      <c r="B3" s="88" t="s">
        <v>347</v>
      </c>
      <c r="C3" s="88" t="s">
        <v>348</v>
      </c>
      <c r="D3" s="88" t="s">
        <v>349</v>
      </c>
      <c r="E3" s="88" t="s">
        <v>350</v>
      </c>
      <c r="F3" s="88" t="s">
        <v>351</v>
      </c>
      <c r="G3" s="88" t="s">
        <v>352</v>
      </c>
      <c r="H3" s="88" t="s">
        <v>353</v>
      </c>
      <c r="I3" s="88" t="s">
        <v>354</v>
      </c>
      <c r="J3" s="88" t="s">
        <v>355</v>
      </c>
      <c r="K3" s="88" t="s">
        <v>356</v>
      </c>
      <c r="L3" s="88" t="s">
        <v>357</v>
      </c>
      <c r="M3" s="88" t="s">
        <v>358</v>
      </c>
    </row>
    <row r="4" spans="1:15" ht="13" x14ac:dyDescent="0.25">
      <c r="A4" s="69" t="s">
        <v>213</v>
      </c>
      <c r="B4" s="39" t="s">
        <v>18</v>
      </c>
      <c r="C4" s="39" t="s">
        <v>18</v>
      </c>
      <c r="D4" s="32" t="s">
        <v>6</v>
      </c>
      <c r="E4" s="32" t="s">
        <v>15</v>
      </c>
      <c r="F4" s="32" t="s">
        <v>12</v>
      </c>
      <c r="G4" s="32" t="s">
        <v>12</v>
      </c>
      <c r="H4" s="32" t="s">
        <v>9</v>
      </c>
      <c r="I4" s="32" t="s">
        <v>12</v>
      </c>
      <c r="J4" s="32" t="s">
        <v>6</v>
      </c>
      <c r="K4" s="32" t="s">
        <v>6</v>
      </c>
      <c r="L4" s="32" t="s">
        <v>12</v>
      </c>
      <c r="M4" s="32" t="s">
        <v>15</v>
      </c>
    </row>
    <row r="5" spans="1:15" s="7" customFormat="1" ht="13" x14ac:dyDescent="0.25">
      <c r="A5" s="56" t="s">
        <v>214</v>
      </c>
      <c r="B5" s="39" t="s">
        <v>18</v>
      </c>
      <c r="C5" s="39" t="s">
        <v>18</v>
      </c>
      <c r="D5" s="33">
        <v>149.37700000000001</v>
      </c>
      <c r="E5" s="33">
        <v>151.642</v>
      </c>
      <c r="F5" s="33">
        <v>151.678</v>
      </c>
      <c r="G5" s="33">
        <v>151.797</v>
      </c>
      <c r="H5" s="33">
        <v>151.86199999999999</v>
      </c>
      <c r="I5" s="33">
        <v>152.125</v>
      </c>
      <c r="J5" s="33">
        <v>153.26</v>
      </c>
      <c r="K5" s="33">
        <v>153.99299999999999</v>
      </c>
      <c r="L5" s="33">
        <v>154.79000000000002</v>
      </c>
      <c r="M5" s="33">
        <v>155.14600000000002</v>
      </c>
    </row>
    <row r="6" spans="1:15" s="7" customFormat="1" ht="13" x14ac:dyDescent="0.25">
      <c r="A6" s="53" t="s">
        <v>215</v>
      </c>
      <c r="B6" s="34"/>
      <c r="C6" s="34"/>
      <c r="D6" s="34"/>
      <c r="E6" s="153"/>
      <c r="F6" s="34"/>
      <c r="G6" s="153"/>
      <c r="H6" s="34"/>
      <c r="I6" s="34"/>
      <c r="J6" s="34"/>
      <c r="K6" s="34"/>
      <c r="L6" s="34"/>
      <c r="M6" s="34"/>
    </row>
    <row r="7" spans="1:15" s="7" customFormat="1" x14ac:dyDescent="0.25">
      <c r="A7" s="48" t="s">
        <v>216</v>
      </c>
      <c r="B7" s="49">
        <v>100</v>
      </c>
      <c r="C7" s="49">
        <v>103.11446666123284</v>
      </c>
      <c r="D7" s="49">
        <v>103.62994901190696</v>
      </c>
      <c r="E7" s="49">
        <v>102.22230958011409</v>
      </c>
      <c r="F7" s="49">
        <v>101.0125038428647</v>
      </c>
      <c r="G7" s="49">
        <v>105.27873260732392</v>
      </c>
      <c r="H7" s="49">
        <v>102.09085201533858</v>
      </c>
      <c r="I7" s="49">
        <v>102.3231017945223</v>
      </c>
      <c r="J7" s="49">
        <v>105.76370503556431</v>
      </c>
      <c r="K7" s="49">
        <v>100.97336058212144</v>
      </c>
      <c r="L7" s="49">
        <v>106.35539914232064</v>
      </c>
      <c r="M7" s="49">
        <v>104.17817917867592</v>
      </c>
      <c r="O7"/>
    </row>
    <row r="8" spans="1:15" s="7" customFormat="1" x14ac:dyDescent="0.25">
      <c r="A8" s="111" t="s">
        <v>217</v>
      </c>
      <c r="B8" s="126">
        <f>65+11.8875479735432</f>
        <v>76.887547973543207</v>
      </c>
      <c r="C8" s="126">
        <f>65+12.0285161965748</f>
        <v>77.028516196574799</v>
      </c>
      <c r="D8" s="126">
        <f>65+11.6760523442113</f>
        <v>76.6760523442113</v>
      </c>
      <c r="E8" s="126">
        <f>65+12.7958984136609</f>
        <v>77.795898413660893</v>
      </c>
      <c r="F8" s="126">
        <f>65+11.9420386217918</f>
        <v>76.942038621791795</v>
      </c>
      <c r="G8" s="126">
        <f>65+12.3082028313223</f>
        <v>77.308202831322305</v>
      </c>
      <c r="H8" s="126">
        <f>65+11.6200879712145</f>
        <v>76.620087971214502</v>
      </c>
      <c r="I8" s="126">
        <f>65+11.3878330172671</f>
        <v>76.387833017267099</v>
      </c>
      <c r="J8" s="126">
        <f>65+12.8093685498356</f>
        <v>77.809368549835597</v>
      </c>
      <c r="K8" s="126">
        <f>65+12.0085559210377</f>
        <v>77.008555921037697</v>
      </c>
      <c r="L8" s="126">
        <f>65+13.8126494613657</f>
        <v>78.812649461365694</v>
      </c>
      <c r="M8" s="126">
        <f>65+13.6337052884585</f>
        <v>78.633705288458501</v>
      </c>
    </row>
    <row r="9" spans="1:15" s="7" customFormat="1" x14ac:dyDescent="0.25">
      <c r="A9" s="50" t="s">
        <v>218</v>
      </c>
      <c r="B9" s="38">
        <v>100</v>
      </c>
      <c r="C9" s="38">
        <v>103.15507972442285</v>
      </c>
      <c r="D9" s="38">
        <v>103.31578644114785</v>
      </c>
      <c r="E9" s="38">
        <v>103.06850220081243</v>
      </c>
      <c r="F9" s="38">
        <v>100.66852552475507</v>
      </c>
      <c r="G9" s="38">
        <v>105.41361841317088</v>
      </c>
      <c r="H9" s="38">
        <v>101.46235630230231</v>
      </c>
      <c r="I9" s="38">
        <v>101.52039948748246</v>
      </c>
      <c r="J9" s="38">
        <v>106.8741940237995</v>
      </c>
      <c r="K9" s="38">
        <v>100.96798213044171</v>
      </c>
      <c r="L9" s="38">
        <v>109.03808786570828</v>
      </c>
      <c r="M9" s="38">
        <v>106.117861930931</v>
      </c>
    </row>
    <row r="10" spans="1:15" s="7" customFormat="1" x14ac:dyDescent="0.25">
      <c r="A10" s="48" t="s">
        <v>219</v>
      </c>
      <c r="B10" s="49">
        <v>70.831613448245761</v>
      </c>
      <c r="C10" s="49">
        <v>66.004420613150202</v>
      </c>
      <c r="D10" s="49">
        <v>64.703077936033708</v>
      </c>
      <c r="E10" s="49">
        <v>58.953949543176293</v>
      </c>
      <c r="F10" s="49">
        <v>65.601906870312078</v>
      </c>
      <c r="G10" s="49">
        <v>69.807849186223407</v>
      </c>
      <c r="H10" s="49">
        <v>64.790218880692393</v>
      </c>
      <c r="I10" s="49">
        <v>66.920620826000459</v>
      </c>
      <c r="J10" s="49">
        <v>66.976247938708283</v>
      </c>
      <c r="K10" s="49">
        <v>67.548137697166425</v>
      </c>
      <c r="L10" s="49">
        <v>64.339577386037135</v>
      </c>
      <c r="M10" s="49">
        <v>65.488073536978746</v>
      </c>
    </row>
    <row r="11" spans="1:15" s="7" customFormat="1" ht="13" x14ac:dyDescent="0.25">
      <c r="A11" s="53" t="s">
        <v>220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1:15" s="7" customFormat="1" x14ac:dyDescent="0.25">
      <c r="A12" s="48" t="s">
        <v>221</v>
      </c>
      <c r="B12" s="49">
        <v>100</v>
      </c>
      <c r="C12" s="49">
        <v>104.85243555613197</v>
      </c>
      <c r="D12" s="49">
        <v>106.09290375717045</v>
      </c>
      <c r="E12" s="49">
        <v>96.518462622032942</v>
      </c>
      <c r="F12" s="49">
        <v>107.74882966971646</v>
      </c>
      <c r="G12" s="49">
        <v>107.61250244809142</v>
      </c>
      <c r="H12" s="49">
        <v>102.07118950388418</v>
      </c>
      <c r="I12" s="49">
        <v>101.28290325949274</v>
      </c>
      <c r="J12" s="49">
        <v>106.55772178813905</v>
      </c>
      <c r="K12" s="49">
        <v>104.68792717533412</v>
      </c>
      <c r="L12" s="49">
        <v>108.98477983754265</v>
      </c>
      <c r="M12" s="49">
        <v>99.473035892394847</v>
      </c>
    </row>
    <row r="13" spans="1:15" s="7" customFormat="1" x14ac:dyDescent="0.25">
      <c r="A13" s="51" t="s">
        <v>222</v>
      </c>
      <c r="B13" s="38">
        <v>100</v>
      </c>
      <c r="C13" s="38">
        <v>108.50860073056876</v>
      </c>
      <c r="D13" s="38">
        <v>109.30975834171693</v>
      </c>
      <c r="E13" s="38">
        <v>101.25232088386984</v>
      </c>
      <c r="F13" s="38">
        <v>112.30823728121575</v>
      </c>
      <c r="G13" s="38">
        <v>110.809425400264</v>
      </c>
      <c r="H13" s="38">
        <v>105.09132612267064</v>
      </c>
      <c r="I13" s="38">
        <v>102.32753347709817</v>
      </c>
      <c r="J13" s="38">
        <v>111.70000421753781</v>
      </c>
      <c r="K13" s="38">
        <v>107.9333142403497</v>
      </c>
      <c r="L13" s="38">
        <v>112.63967338232659</v>
      </c>
      <c r="M13" s="38">
        <v>101.71072645086163</v>
      </c>
    </row>
    <row r="14" spans="1:15" s="7" customFormat="1" x14ac:dyDescent="0.25">
      <c r="A14" s="48" t="s">
        <v>223</v>
      </c>
      <c r="B14" s="49">
        <v>100</v>
      </c>
      <c r="C14" s="49">
        <v>103.22833933498762</v>
      </c>
      <c r="D14" s="49">
        <v>105.13137724441884</v>
      </c>
      <c r="E14" s="49">
        <v>99.407525470687702</v>
      </c>
      <c r="F14" s="49">
        <v>108.47487118258151</v>
      </c>
      <c r="G14" s="49">
        <v>108.86565495815016</v>
      </c>
      <c r="H14" s="49">
        <v>101.89463491588184</v>
      </c>
      <c r="I14" s="49">
        <v>100.52013065366063</v>
      </c>
      <c r="J14" s="49">
        <v>105.44121356724553</v>
      </c>
      <c r="K14" s="49">
        <v>100.44613161240427</v>
      </c>
      <c r="L14" s="49">
        <v>104.49530099535325</v>
      </c>
      <c r="M14" s="49">
        <v>102.27145608613944</v>
      </c>
    </row>
    <row r="15" spans="1:15" s="7" customFormat="1" x14ac:dyDescent="0.25">
      <c r="A15" s="111" t="s">
        <v>224</v>
      </c>
      <c r="B15" s="49">
        <v>100</v>
      </c>
      <c r="C15" s="128">
        <v>104.05552718603461</v>
      </c>
      <c r="D15" s="49">
        <v>105.61214050079464</v>
      </c>
      <c r="E15" s="49">
        <v>97.674087761494846</v>
      </c>
      <c r="F15" s="49">
        <v>108.03924627486248</v>
      </c>
      <c r="G15" s="49">
        <v>108.23907870312078</v>
      </c>
      <c r="H15" s="49">
        <v>101.99272079810537</v>
      </c>
      <c r="I15" s="49">
        <v>100.90151695657669</v>
      </c>
      <c r="J15" s="49">
        <v>106.05021805136926</v>
      </c>
      <c r="K15" s="49">
        <v>102.56702939386919</v>
      </c>
      <c r="L15" s="49">
        <v>106.74004041644794</v>
      </c>
      <c r="M15" s="49">
        <v>100.59240396989269</v>
      </c>
    </row>
    <row r="16" spans="1:15" s="7" customFormat="1" x14ac:dyDescent="0.25">
      <c r="A16" s="48" t="s">
        <v>225</v>
      </c>
      <c r="B16" s="49">
        <v>66.243111205308352</v>
      </c>
      <c r="C16" s="49">
        <v>61.102724261735943</v>
      </c>
      <c r="D16" s="128">
        <v>59.849170149553572</v>
      </c>
      <c r="E16" s="128">
        <v>51.134381920434343</v>
      </c>
      <c r="F16" s="49">
        <v>58.817050139567101</v>
      </c>
      <c r="G16" s="128">
        <v>60.215865729184884</v>
      </c>
      <c r="H16" s="128">
        <v>59.006821240599706</v>
      </c>
      <c r="I16" s="128">
        <v>60.279083639900342</v>
      </c>
      <c r="J16" s="128">
        <v>62.479282939993901</v>
      </c>
      <c r="K16" s="128">
        <v>63.075622716796602</v>
      </c>
      <c r="L16" s="128">
        <v>61.038673898760422</v>
      </c>
      <c r="M16" s="49">
        <v>57.276216806233762</v>
      </c>
    </row>
    <row r="17" spans="1:15" s="7" customFormat="1" ht="13" x14ac:dyDescent="0.25">
      <c r="A17" s="53" t="s">
        <v>226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5" s="7" customFormat="1" x14ac:dyDescent="0.25">
      <c r="A18" s="48" t="s">
        <v>227</v>
      </c>
      <c r="B18" s="49">
        <v>100</v>
      </c>
      <c r="C18" s="49">
        <v>98.041122828618583</v>
      </c>
      <c r="D18" s="49">
        <v>98.021089859187327</v>
      </c>
      <c r="E18" s="49">
        <v>111.98062899379923</v>
      </c>
      <c r="F18" s="49">
        <v>86.546136637958085</v>
      </c>
      <c r="G18" s="49">
        <v>96.202312408479855</v>
      </c>
      <c r="H18" s="49">
        <v>93.061969458466024</v>
      </c>
      <c r="I18" s="49">
        <v>89.929551360426544</v>
      </c>
      <c r="J18" s="49">
        <v>106.14741746305467</v>
      </c>
      <c r="K18" s="49">
        <v>94.934014533766316</v>
      </c>
      <c r="L18" s="49">
        <v>91.565453825468154</v>
      </c>
      <c r="M18" s="49">
        <v>92.019789394180165</v>
      </c>
    </row>
    <row r="19" spans="1:15" s="7" customFormat="1" x14ac:dyDescent="0.25">
      <c r="A19" s="48" t="s">
        <v>228</v>
      </c>
      <c r="B19" s="49">
        <v>100</v>
      </c>
      <c r="C19" s="49">
        <v>101.6549147518901</v>
      </c>
      <c r="D19" s="49">
        <v>102.94841388747322</v>
      </c>
      <c r="E19" s="49">
        <v>107.39053287130037</v>
      </c>
      <c r="F19" s="49">
        <v>99.22234726599747</v>
      </c>
      <c r="G19" s="49">
        <v>106.75035885193886</v>
      </c>
      <c r="H19" s="49">
        <v>97.428421948807568</v>
      </c>
      <c r="I19" s="49">
        <v>95.778574154601273</v>
      </c>
      <c r="J19" s="49">
        <v>107.89063236051973</v>
      </c>
      <c r="K19" s="49">
        <v>98.352190810759893</v>
      </c>
      <c r="L19" s="49">
        <v>102.73937044008926</v>
      </c>
      <c r="M19" s="49">
        <v>97.254584589214886</v>
      </c>
    </row>
    <row r="20" spans="1:15" s="7" customFormat="1" x14ac:dyDescent="0.25">
      <c r="A20" s="48" t="s">
        <v>229</v>
      </c>
      <c r="B20" s="49">
        <v>100</v>
      </c>
      <c r="C20" s="49">
        <v>107.04200988956704</v>
      </c>
      <c r="D20" s="49">
        <v>105.98358180330581</v>
      </c>
      <c r="E20" s="49">
        <v>102.12293153407182</v>
      </c>
      <c r="F20" s="49">
        <v>105.03171216173622</v>
      </c>
      <c r="G20" s="49">
        <v>105.68231339005253</v>
      </c>
      <c r="H20" s="49">
        <v>107.9134628644893</v>
      </c>
      <c r="I20" s="49">
        <v>106.46019805063246</v>
      </c>
      <c r="J20" s="49">
        <v>106.62614713568199</v>
      </c>
      <c r="K20" s="49">
        <v>107.64484775479106</v>
      </c>
      <c r="L20" s="49">
        <v>112.70548886534112</v>
      </c>
      <c r="M20" s="49">
        <v>110.48270833931673</v>
      </c>
    </row>
    <row r="21" spans="1:15" s="7" customFormat="1" x14ac:dyDescent="0.25">
      <c r="A21" s="48" t="s">
        <v>230</v>
      </c>
      <c r="B21" s="49">
        <v>100</v>
      </c>
      <c r="C21" s="49">
        <v>101.62474548901196</v>
      </c>
      <c r="D21" s="49">
        <v>102.85350003145317</v>
      </c>
      <c r="E21" s="49">
        <v>98.637395268981194</v>
      </c>
      <c r="F21" s="49">
        <v>97.51851546842444</v>
      </c>
      <c r="G21" s="49">
        <v>103.05382404733287</v>
      </c>
      <c r="H21" s="49">
        <v>101.39054399551186</v>
      </c>
      <c r="I21" s="49">
        <v>103.69866142615737</v>
      </c>
      <c r="J21" s="49">
        <v>101.50809530422407</v>
      </c>
      <c r="K21" s="49">
        <v>100.74684262485877</v>
      </c>
      <c r="L21" s="49">
        <v>106.38273856905391</v>
      </c>
      <c r="M21" s="49">
        <v>103.03251665429249</v>
      </c>
      <c r="O21" s="144"/>
    </row>
    <row r="22" spans="1:15" s="7" customFormat="1" x14ac:dyDescent="0.25">
      <c r="A22" s="48" t="s">
        <v>231</v>
      </c>
      <c r="B22" s="49">
        <v>100</v>
      </c>
      <c r="C22" s="49">
        <v>99.429599424075548</v>
      </c>
      <c r="D22" s="49">
        <v>101.53327099399885</v>
      </c>
      <c r="E22" s="49">
        <v>98.239300536297037</v>
      </c>
      <c r="F22" s="49">
        <v>100.50690620500143</v>
      </c>
      <c r="G22" s="49">
        <v>106.00531054831744</v>
      </c>
      <c r="H22" s="49">
        <v>98.727749580790487</v>
      </c>
      <c r="I22" s="49">
        <v>103.84779586301984</v>
      </c>
      <c r="J22" s="49">
        <v>106.18113082137373</v>
      </c>
      <c r="K22" s="49">
        <v>91.27624630013905</v>
      </c>
      <c r="L22" s="49">
        <v>98.478589572860997</v>
      </c>
      <c r="M22" s="49">
        <v>105.67434209149833</v>
      </c>
      <c r="O22" s="144"/>
    </row>
    <row r="23" spans="1:15" s="7" customFormat="1" ht="13" x14ac:dyDescent="0.25">
      <c r="A23" s="129" t="s">
        <v>232</v>
      </c>
      <c r="B23" s="49"/>
      <c r="C23" s="49"/>
      <c r="D23" s="34"/>
      <c r="E23" s="34"/>
      <c r="F23" s="34"/>
      <c r="G23" s="34"/>
      <c r="H23" s="34"/>
      <c r="I23" s="34"/>
      <c r="J23" s="34"/>
      <c r="K23" s="34"/>
      <c r="L23" s="34"/>
      <c r="M23" s="34"/>
      <c r="O23" s="144"/>
    </row>
    <row r="24" spans="1:15" s="7" customFormat="1" x14ac:dyDescent="0.25">
      <c r="A24" s="48" t="s">
        <v>233</v>
      </c>
      <c r="B24" s="49">
        <v>100</v>
      </c>
      <c r="C24" s="49">
        <v>109.81320875919856</v>
      </c>
      <c r="D24" s="49">
        <v>112.38606647297398</v>
      </c>
      <c r="E24" s="49">
        <v>103.95483069494217</v>
      </c>
      <c r="F24" s="49">
        <v>117.90903714258722</v>
      </c>
      <c r="G24" s="49">
        <v>116.00843111761776</v>
      </c>
      <c r="H24" s="49">
        <v>106.68130525725164</v>
      </c>
      <c r="I24" s="49">
        <v>103.29534254930984</v>
      </c>
      <c r="J24" s="49">
        <v>113.69803617057879</v>
      </c>
      <c r="K24" s="49">
        <v>106.48743334783892</v>
      </c>
      <c r="L24" s="49">
        <v>109.19614626242318</v>
      </c>
      <c r="M24" s="49">
        <v>100.47398516276849</v>
      </c>
      <c r="O24" s="144"/>
    </row>
    <row r="25" spans="1:15" s="7" customFormat="1" x14ac:dyDescent="0.25">
      <c r="A25" s="111" t="s">
        <v>234</v>
      </c>
      <c r="B25" s="49">
        <f>65+6.751636853557</f>
        <v>71.751636853557002</v>
      </c>
      <c r="C25" s="126">
        <f>65+6.25631898643876</f>
        <v>71.256318986438757</v>
      </c>
      <c r="D25" s="126">
        <f>65+5.96289</f>
        <v>70.962890000000002</v>
      </c>
      <c r="E25" s="126">
        <f>65+8.97653581237044</f>
        <v>73.976535812370443</v>
      </c>
      <c r="F25" s="126">
        <f>65+4.74059</f>
        <v>69.740589999999997</v>
      </c>
      <c r="G25" s="126">
        <f>65+4.03534000000001</f>
        <v>69.035340000000005</v>
      </c>
      <c r="H25" s="126">
        <f>65+6.42388741370358</f>
        <v>71.423887413703582</v>
      </c>
      <c r="I25" s="126">
        <f>65+5.90318000000001</f>
        <v>70.903180000000006</v>
      </c>
      <c r="J25" s="126">
        <f>65+6.26913</f>
        <v>71.269130000000004</v>
      </c>
      <c r="K25" s="126">
        <f>65+6.36938000000001</f>
        <v>71.369380000000007</v>
      </c>
      <c r="L25" s="126">
        <f>65+7.30016000000001</f>
        <v>72.300160000000005</v>
      </c>
      <c r="M25" s="126">
        <f>65+6.37393</f>
        <v>71.373930000000001</v>
      </c>
      <c r="O25" s="144"/>
    </row>
    <row r="26" spans="1:15" s="7" customFormat="1" x14ac:dyDescent="0.25">
      <c r="A26" s="48" t="s">
        <v>235</v>
      </c>
      <c r="B26" s="49">
        <v>100</v>
      </c>
      <c r="C26" s="49">
        <v>102.02242206067788</v>
      </c>
      <c r="D26" s="49">
        <v>101.138065799157</v>
      </c>
      <c r="E26" s="49">
        <v>96.364600683841601</v>
      </c>
      <c r="F26" s="49">
        <v>100.48323152427049</v>
      </c>
      <c r="G26" s="49">
        <v>105.10949533632011</v>
      </c>
      <c r="H26" s="49">
        <v>96.888061618490923</v>
      </c>
      <c r="I26" s="49">
        <v>98.798829361234183</v>
      </c>
      <c r="J26" s="49">
        <v>104.51317898867228</v>
      </c>
      <c r="K26" s="49">
        <v>105.55040763957389</v>
      </c>
      <c r="L26" s="49">
        <v>110.90653613816752</v>
      </c>
      <c r="M26" s="49">
        <v>98.791554855427847</v>
      </c>
      <c r="O26" s="144"/>
    </row>
    <row r="27" spans="1:15" s="7" customFormat="1" x14ac:dyDescent="0.25">
      <c r="A27" s="111" t="s">
        <v>307</v>
      </c>
      <c r="B27" s="126">
        <f>65+7.7150581746045</f>
        <v>72.715058174604494</v>
      </c>
      <c r="C27" s="126">
        <f>65+8.3259040609897</f>
        <v>73.3259040609897</v>
      </c>
      <c r="D27" s="126">
        <f>65+7.89492638015047</f>
        <v>72.894926380150466</v>
      </c>
      <c r="E27" s="126">
        <f>65+8.87862705983036</f>
        <v>73.878627059830364</v>
      </c>
      <c r="F27" s="126">
        <f>65+9.41339389431218</f>
        <v>74.413393894312179</v>
      </c>
      <c r="G27" s="126">
        <f>65+8.32682039309749</f>
        <v>73.326820393097492</v>
      </c>
      <c r="H27" s="126">
        <f>65+8.95347928194964</f>
        <v>73.95347928194964</v>
      </c>
      <c r="I27" s="126">
        <f>65+7.82726631645842</f>
        <v>72.82726631645842</v>
      </c>
      <c r="J27" s="126">
        <f>65+7.46437844787178</f>
        <v>72.464378447871781</v>
      </c>
      <c r="K27" s="126">
        <f>65+8.99083213398706</f>
        <v>73.990832133987055</v>
      </c>
      <c r="L27" s="126">
        <f>65+8.73712320379778</f>
        <v>73.737123203797779</v>
      </c>
      <c r="M27" s="126">
        <f>65+9.56894944986772</f>
        <v>74.568949449867716</v>
      </c>
      <c r="O27" s="144"/>
    </row>
    <row r="28" spans="1:15" s="7" customFormat="1" x14ac:dyDescent="0.25">
      <c r="A28" s="48" t="s">
        <v>237</v>
      </c>
      <c r="B28" s="49">
        <v>100</v>
      </c>
      <c r="C28" s="49">
        <v>98.43872579909916</v>
      </c>
      <c r="D28" s="49">
        <v>99.474190761148691</v>
      </c>
      <c r="E28" s="49">
        <v>89.726015403796083</v>
      </c>
      <c r="F28" s="49">
        <v>101.92472934141894</v>
      </c>
      <c r="G28" s="49">
        <v>96.442855743902527</v>
      </c>
      <c r="H28" s="49">
        <v>98.313040703812547</v>
      </c>
      <c r="I28" s="49">
        <v>98.090377510484032</v>
      </c>
      <c r="J28" s="49">
        <v>93.707376923674332</v>
      </c>
      <c r="K28" s="49">
        <v>102.26031061928408</v>
      </c>
      <c r="L28" s="49">
        <v>104.0929160014465</v>
      </c>
      <c r="M28" s="49">
        <v>98.927942765589478</v>
      </c>
      <c r="O28" s="144"/>
    </row>
    <row r="29" spans="1:15" s="7" customFormat="1" x14ac:dyDescent="0.25">
      <c r="A29" s="48" t="s">
        <v>238</v>
      </c>
      <c r="B29" s="49">
        <v>100</v>
      </c>
      <c r="C29" s="49">
        <v>102.40368253780873</v>
      </c>
      <c r="D29" s="49">
        <v>102.73459446021107</v>
      </c>
      <c r="E29" s="49">
        <v>93.057377222879211</v>
      </c>
      <c r="F29" s="49">
        <v>98.040757245426306</v>
      </c>
      <c r="G29" s="49">
        <v>101.50341329313939</v>
      </c>
      <c r="H29" s="49">
        <v>100.69098477434514</v>
      </c>
      <c r="I29" s="49">
        <v>102.19961098755793</v>
      </c>
      <c r="J29" s="49">
        <v>104.15851734617772</v>
      </c>
      <c r="K29" s="49">
        <v>102.03063357050104</v>
      </c>
      <c r="L29" s="49">
        <v>110.88421347010896</v>
      </c>
      <c r="M29" s="49">
        <v>98.337877219456018</v>
      </c>
      <c r="O29" s="144"/>
    </row>
    <row r="30" spans="1:15" s="7" customFormat="1" ht="13" x14ac:dyDescent="0.25">
      <c r="A30" s="54" t="s">
        <v>239</v>
      </c>
      <c r="B30" s="126"/>
      <c r="C30" s="126"/>
      <c r="D30" s="34"/>
      <c r="E30" s="34"/>
      <c r="F30" s="34"/>
      <c r="G30" s="34"/>
      <c r="H30" s="34"/>
      <c r="I30" s="34"/>
      <c r="J30" s="34"/>
      <c r="K30" s="34"/>
      <c r="L30" s="34"/>
      <c r="M30" s="34"/>
      <c r="O30" s="144"/>
    </row>
    <row r="31" spans="1:15" s="7" customFormat="1" x14ac:dyDescent="0.25">
      <c r="A31" s="47" t="s">
        <v>240</v>
      </c>
      <c r="B31" s="126">
        <v>7.4658701251157149</v>
      </c>
      <c r="C31" s="126">
        <v>7.5495752289697302</v>
      </c>
      <c r="D31" s="126">
        <v>7.5474031245097182</v>
      </c>
      <c r="E31" s="126">
        <v>6.7322801065917988</v>
      </c>
      <c r="F31" s="126">
        <v>7.4270794973834979</v>
      </c>
      <c r="G31" s="133" t="s">
        <v>18</v>
      </c>
      <c r="H31" s="126">
        <v>7.4260232911918811</v>
      </c>
      <c r="I31" s="126">
        <v>7.1745866323972924</v>
      </c>
      <c r="J31" s="126">
        <v>7.6164749848042135</v>
      </c>
      <c r="K31" s="126">
        <v>7.6083995153731072</v>
      </c>
      <c r="L31" s="133" t="s">
        <v>18</v>
      </c>
      <c r="M31" s="126">
        <v>6.5104128307168319</v>
      </c>
      <c r="O31" s="144"/>
    </row>
    <row r="32" spans="1:15" s="7" customFormat="1" ht="13" x14ac:dyDescent="0.25">
      <c r="A32" s="54" t="s">
        <v>241</v>
      </c>
      <c r="B32" s="126"/>
      <c r="C32" s="126"/>
      <c r="D32" s="126"/>
      <c r="E32" s="126"/>
      <c r="F32" s="146"/>
      <c r="G32" s="133"/>
      <c r="H32" s="126"/>
      <c r="I32" s="126"/>
      <c r="J32" s="126"/>
      <c r="K32" s="126"/>
      <c r="L32" s="133"/>
      <c r="M32" s="146"/>
      <c r="O32" s="144"/>
    </row>
    <row r="33" spans="1:15" s="7" customFormat="1" x14ac:dyDescent="0.25">
      <c r="A33" s="47" t="s">
        <v>242</v>
      </c>
      <c r="B33" s="133">
        <v>5.8125050399999987</v>
      </c>
      <c r="C33" s="133">
        <v>5.6749999999999998</v>
      </c>
      <c r="D33" s="126">
        <v>3.1</v>
      </c>
      <c r="E33" s="126">
        <v>6.5</v>
      </c>
      <c r="F33" s="126">
        <v>6</v>
      </c>
      <c r="G33" s="126">
        <v>6.3</v>
      </c>
      <c r="H33" s="126">
        <v>6.5</v>
      </c>
      <c r="I33" s="126">
        <v>7.7</v>
      </c>
      <c r="J33" s="126">
        <v>6</v>
      </c>
      <c r="K33" s="126">
        <v>7.1</v>
      </c>
      <c r="L33" s="126">
        <v>7.6</v>
      </c>
      <c r="M33" s="126">
        <v>6.3</v>
      </c>
      <c r="O33" s="144"/>
    </row>
    <row r="34" spans="1:15" s="7" customFormat="1" x14ac:dyDescent="0.25">
      <c r="A34" s="47" t="s">
        <v>243</v>
      </c>
      <c r="B34" s="133">
        <v>5.3193624319999993</v>
      </c>
      <c r="C34" s="133">
        <v>6.125</v>
      </c>
      <c r="D34" s="126">
        <v>6.6</v>
      </c>
      <c r="E34" s="126">
        <v>5.7</v>
      </c>
      <c r="F34" s="133">
        <v>6</v>
      </c>
      <c r="G34" s="126">
        <v>6.7</v>
      </c>
      <c r="H34" s="126">
        <v>6</v>
      </c>
      <c r="I34" s="126">
        <v>6.7</v>
      </c>
      <c r="J34" s="126">
        <v>5.5</v>
      </c>
      <c r="K34" s="133">
        <v>6.4</v>
      </c>
      <c r="L34" s="133">
        <v>5.9</v>
      </c>
      <c r="M34" s="133">
        <v>6</v>
      </c>
      <c r="O34" s="144"/>
    </row>
    <row r="35" spans="1:15" s="7" customFormat="1" x14ac:dyDescent="0.25">
      <c r="A35" s="47" t="s">
        <v>244</v>
      </c>
      <c r="B35" s="133">
        <v>6.6860034999999991</v>
      </c>
      <c r="C35" s="133">
        <v>6.8000000000000007</v>
      </c>
      <c r="D35" s="133" t="s">
        <v>265</v>
      </c>
      <c r="E35" s="133" t="s">
        <v>18</v>
      </c>
      <c r="F35" s="133" t="s">
        <v>18</v>
      </c>
      <c r="G35" s="133" t="s">
        <v>18</v>
      </c>
      <c r="H35" s="126">
        <v>6.7</v>
      </c>
      <c r="I35" s="126">
        <v>7.1</v>
      </c>
      <c r="J35" s="133">
        <v>7.6</v>
      </c>
      <c r="K35" s="126">
        <v>6</v>
      </c>
      <c r="L35" s="133" t="s">
        <v>18</v>
      </c>
      <c r="M35" s="133" t="s">
        <v>18</v>
      </c>
      <c r="O35" s="144"/>
    </row>
    <row r="36" spans="1:15" s="7" customFormat="1" ht="13" x14ac:dyDescent="0.25">
      <c r="A36" s="54" t="s">
        <v>245</v>
      </c>
      <c r="B36" s="133"/>
      <c r="C36" s="133"/>
      <c r="D36" s="133"/>
      <c r="E36" s="133"/>
      <c r="F36" s="133"/>
      <c r="G36" s="133"/>
      <c r="H36" s="126"/>
      <c r="I36" s="126"/>
      <c r="J36" s="133"/>
      <c r="K36" s="126"/>
      <c r="L36" s="133"/>
      <c r="M36" s="133"/>
      <c r="O36" s="144"/>
    </row>
    <row r="37" spans="1:15" s="7" customFormat="1" x14ac:dyDescent="0.25">
      <c r="A37" s="47" t="s">
        <v>246</v>
      </c>
      <c r="B37" s="134" t="s">
        <v>18</v>
      </c>
      <c r="C37" s="134" t="s">
        <v>18</v>
      </c>
      <c r="D37" s="134">
        <v>2017</v>
      </c>
      <c r="E37" s="134">
        <v>2024</v>
      </c>
      <c r="F37" s="134">
        <v>2024</v>
      </c>
      <c r="G37" s="134">
        <v>2025</v>
      </c>
      <c r="H37" s="134">
        <v>2014</v>
      </c>
      <c r="I37" s="134">
        <v>2020</v>
      </c>
      <c r="J37" s="134">
        <v>2012</v>
      </c>
      <c r="K37" s="134">
        <v>2018</v>
      </c>
      <c r="L37" s="134">
        <v>2026</v>
      </c>
      <c r="M37" s="134">
        <v>2024</v>
      </c>
      <c r="O37" s="144"/>
    </row>
    <row r="38" spans="1:15" s="7" customFormat="1" x14ac:dyDescent="0.25">
      <c r="A38" s="47" t="s">
        <v>247</v>
      </c>
      <c r="B38" s="134" t="s">
        <v>18</v>
      </c>
      <c r="C38" s="134" t="s">
        <v>18</v>
      </c>
      <c r="D38" s="58" t="s">
        <v>148</v>
      </c>
      <c r="E38" s="58" t="s">
        <v>151</v>
      </c>
      <c r="F38" s="58" t="s">
        <v>148</v>
      </c>
      <c r="G38" s="58" t="s">
        <v>148</v>
      </c>
      <c r="H38" s="58" t="s">
        <v>156</v>
      </c>
      <c r="I38" s="58" t="s">
        <v>148</v>
      </c>
      <c r="J38" s="58" t="s">
        <v>151</v>
      </c>
      <c r="K38" s="58" t="s">
        <v>156</v>
      </c>
      <c r="L38" s="58" t="s">
        <v>159</v>
      </c>
      <c r="M38" s="58" t="s">
        <v>159</v>
      </c>
      <c r="O38" s="144"/>
    </row>
    <row r="39" spans="1:15" s="7" customFormat="1" x14ac:dyDescent="0.25">
      <c r="A39" s="47" t="s">
        <v>248</v>
      </c>
      <c r="B39" s="134" t="s">
        <v>18</v>
      </c>
      <c r="C39" s="134" t="s">
        <v>18</v>
      </c>
      <c r="D39" s="58" t="s">
        <v>249</v>
      </c>
      <c r="E39" s="58" t="s">
        <v>267</v>
      </c>
      <c r="F39" s="58" t="s">
        <v>249</v>
      </c>
      <c r="G39" s="58" t="s">
        <v>249</v>
      </c>
      <c r="H39" s="58" t="s">
        <v>289</v>
      </c>
      <c r="I39" s="58" t="s">
        <v>249</v>
      </c>
      <c r="J39" s="58" t="s">
        <v>267</v>
      </c>
      <c r="K39" s="58" t="s">
        <v>156</v>
      </c>
      <c r="L39" s="58" t="s">
        <v>159</v>
      </c>
      <c r="M39" s="58" t="s">
        <v>159</v>
      </c>
      <c r="O39" s="144"/>
    </row>
    <row r="40" spans="1:15" ht="13" x14ac:dyDescent="0.25">
      <c r="A40" s="53" t="s">
        <v>250</v>
      </c>
      <c r="B40" s="134"/>
      <c r="C40" s="134"/>
      <c r="D40" s="134"/>
      <c r="E40" s="134"/>
      <c r="F40" s="34"/>
      <c r="G40" s="134"/>
      <c r="H40" s="134"/>
      <c r="I40" s="134"/>
      <c r="J40" s="134"/>
      <c r="K40" s="134"/>
      <c r="L40" s="134"/>
      <c r="M40" s="34"/>
      <c r="O40" s="144"/>
    </row>
    <row r="41" spans="1:15" x14ac:dyDescent="0.25">
      <c r="A41" s="47" t="s">
        <v>251</v>
      </c>
      <c r="B41" s="134" t="s">
        <v>18</v>
      </c>
      <c r="C41" s="134" t="s">
        <v>18</v>
      </c>
      <c r="D41" s="134">
        <v>12</v>
      </c>
      <c r="E41" s="34">
        <v>9</v>
      </c>
      <c r="F41" s="34">
        <v>9</v>
      </c>
      <c r="G41" s="134">
        <v>5</v>
      </c>
      <c r="H41" s="134">
        <v>20</v>
      </c>
      <c r="I41" s="134">
        <v>12</v>
      </c>
      <c r="J41" s="134">
        <v>18</v>
      </c>
      <c r="K41" s="134">
        <v>12</v>
      </c>
      <c r="L41" s="134">
        <v>5</v>
      </c>
      <c r="M41" s="34">
        <v>9</v>
      </c>
      <c r="O41" s="144"/>
    </row>
    <row r="42" spans="1:15" x14ac:dyDescent="0.25">
      <c r="A42" s="47" t="s">
        <v>252</v>
      </c>
      <c r="B42" s="134" t="s">
        <v>18</v>
      </c>
      <c r="C42" s="134" t="s">
        <v>18</v>
      </c>
      <c r="D42" s="34">
        <v>11</v>
      </c>
      <c r="E42" s="34">
        <v>6</v>
      </c>
      <c r="F42" s="34">
        <v>6</v>
      </c>
      <c r="G42" s="34">
        <v>5</v>
      </c>
      <c r="H42" s="34">
        <v>17</v>
      </c>
      <c r="I42" s="34">
        <v>11</v>
      </c>
      <c r="J42" s="34">
        <v>15</v>
      </c>
      <c r="K42" s="34">
        <v>11</v>
      </c>
      <c r="L42" s="34">
        <v>5</v>
      </c>
      <c r="M42" s="34">
        <v>6</v>
      </c>
      <c r="O42" s="144"/>
    </row>
    <row r="43" spans="1:15" x14ac:dyDescent="0.25">
      <c r="A43" s="47" t="s">
        <v>253</v>
      </c>
      <c r="B43" s="134" t="s">
        <v>18</v>
      </c>
      <c r="C43" s="134" t="s">
        <v>18</v>
      </c>
      <c r="D43" s="34">
        <v>12</v>
      </c>
      <c r="E43" s="34">
        <v>6</v>
      </c>
      <c r="F43" s="34">
        <v>6</v>
      </c>
      <c r="G43" s="34">
        <v>5</v>
      </c>
      <c r="H43" s="34">
        <v>16</v>
      </c>
      <c r="I43" s="34">
        <v>12</v>
      </c>
      <c r="J43" s="34">
        <v>15</v>
      </c>
      <c r="K43" s="34">
        <v>12</v>
      </c>
      <c r="L43" s="34">
        <v>5</v>
      </c>
      <c r="M43" s="34">
        <v>6</v>
      </c>
      <c r="O43" s="144"/>
    </row>
    <row r="44" spans="1:15" x14ac:dyDescent="0.25">
      <c r="A44" s="93" t="s">
        <v>254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O44" s="144"/>
    </row>
    <row r="45" spans="1:15" ht="13" x14ac:dyDescent="0.3">
      <c r="A45" s="94" t="s">
        <v>255</v>
      </c>
      <c r="B45" s="143"/>
      <c r="C45" s="143"/>
      <c r="D45" s="113"/>
      <c r="E45" s="113"/>
      <c r="F45" s="95"/>
      <c r="G45" s="113"/>
      <c r="H45" s="113"/>
      <c r="I45" s="114"/>
      <c r="J45" s="113"/>
      <c r="K45" s="114"/>
      <c r="L45" s="113"/>
      <c r="M45" s="95"/>
      <c r="O45" s="144"/>
    </row>
    <row r="46" spans="1:15" ht="13" x14ac:dyDescent="0.3">
      <c r="A46" s="94" t="s">
        <v>256</v>
      </c>
      <c r="B46" s="143"/>
      <c r="C46" s="143"/>
      <c r="D46" s="113"/>
      <c r="E46" s="113"/>
      <c r="F46" s="95"/>
      <c r="G46" s="113"/>
      <c r="H46" s="113"/>
      <c r="I46" s="113"/>
      <c r="J46" s="113"/>
      <c r="K46" s="113"/>
      <c r="L46" s="113"/>
      <c r="M46" s="95"/>
    </row>
    <row r="47" spans="1:15" ht="13" x14ac:dyDescent="0.3">
      <c r="A47" s="94" t="s">
        <v>257</v>
      </c>
      <c r="B47" s="143"/>
      <c r="C47" s="143"/>
      <c r="D47" s="113"/>
      <c r="E47" s="113"/>
      <c r="F47" s="95"/>
      <c r="G47" s="113"/>
      <c r="H47" s="113"/>
      <c r="I47" s="113"/>
      <c r="J47" s="113"/>
      <c r="K47" s="113"/>
      <c r="L47" s="113"/>
      <c r="M47" s="95"/>
    </row>
    <row r="48" spans="1:15" x14ac:dyDescent="0.25">
      <c r="A48" s="93" t="s">
        <v>258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</row>
    <row r="49" spans="1:13" x14ac:dyDescent="0.25">
      <c r="A49" s="115" t="s">
        <v>259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</row>
    <row r="50" spans="1:13" x14ac:dyDescent="0.25">
      <c r="E50" s="154"/>
    </row>
    <row r="61" spans="1:13" x14ac:dyDescent="0.25">
      <c r="E61" s="154"/>
    </row>
    <row r="69" spans="4:5" x14ac:dyDescent="0.25">
      <c r="E69" s="154"/>
    </row>
    <row r="70" spans="4:5" x14ac:dyDescent="0.25">
      <c r="E70" s="154"/>
    </row>
    <row r="71" spans="4:5" x14ac:dyDescent="0.25">
      <c r="D71" s="154"/>
    </row>
  </sheetData>
  <sheetProtection algorithmName="SHA-512" hashValue="UuwSPxt9F89bryGCJY43qn50FTHK20WHZrRKCXMHZWFikN61n+dfK3J4Zvzs0ria4FJc6QAY1+p4I7AS1YszEA==" saltValue="K+5P/NolI6iMlA+QVRDiTA==" spinCount="100000" sheet="1" objects="1" scenarios="1"/>
  <sortState xmlns:xlrd2="http://schemas.microsoft.com/office/spreadsheetml/2017/richdata2" columnSort="1" ref="D1:M71">
    <sortCondition ref="D5:M5"/>
  </sortState>
  <conditionalFormatting sqref="E25 G25">
    <cfRule type="cellIs" dxfId="1" priority="12" stopIfTrue="1" operator="greaterThan">
      <formula>"7.5+$Z$37"</formula>
    </cfRule>
  </conditionalFormatting>
  <conditionalFormatting sqref="E25:J25 L25">
    <cfRule type="cellIs" dxfId="0" priority="13" stopIfTrue="1" operator="greaterThan">
      <formula>"7.5+1.35"</formula>
    </cfRule>
  </conditionalFormatting>
  <conditionalFormatting sqref="G25 E25">
    <cfRule type="aboveAverage" priority="11" stopIfTrue="1"/>
  </conditionalFormatting>
  <printOptions horizontalCentered="1" verticalCentered="1"/>
  <pageMargins left="0.39370078740157483" right="0.39370078740157483" top="0.39370078740157483" bottom="0.39370078740157483" header="0.19685039370078741" footer="0.15748031496062992"/>
  <pageSetup paperSize="8" scale="81" orientation="landscape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G43"/>
  <sheetViews>
    <sheetView zoomScale="90" zoomScaleNormal="90" workbookViewId="0">
      <selection activeCell="A28" sqref="A28"/>
    </sheetView>
  </sheetViews>
  <sheetFormatPr defaultColWidth="9.26953125" defaultRowHeight="12.5" x14ac:dyDescent="0.25"/>
  <cols>
    <col min="1" max="1" width="125.453125" bestFit="1" customWidth="1"/>
    <col min="2" max="2" width="23.7265625" style="118" bestFit="1" customWidth="1"/>
    <col min="3" max="3" width="27" style="118" bestFit="1" customWidth="1"/>
    <col min="4" max="4" width="12" style="118" bestFit="1" customWidth="1"/>
    <col min="5" max="5" width="10.54296875" style="118" bestFit="1" customWidth="1"/>
    <col min="6" max="6" width="9.453125" style="118" bestFit="1" customWidth="1"/>
    <col min="7" max="7" width="8.81640625" style="118" bestFit="1" customWidth="1"/>
    <col min="8" max="8" width="11.81640625" style="118" bestFit="1" customWidth="1"/>
    <col min="9" max="9" width="9.26953125" style="118" bestFit="1" customWidth="1"/>
    <col min="10" max="10" width="9.81640625" style="118" bestFit="1" customWidth="1"/>
    <col min="11" max="11" width="18.26953125" style="118" bestFit="1" customWidth="1"/>
    <col min="12" max="12" width="11.453125" style="118" bestFit="1" customWidth="1"/>
    <col min="13" max="15" width="9.453125" style="118" bestFit="1" customWidth="1"/>
    <col min="17" max="18" width="9.26953125" customWidth="1"/>
  </cols>
  <sheetData>
    <row r="1" spans="1:33" s="10" customFormat="1" ht="14" x14ac:dyDescent="0.3">
      <c r="A1" s="9" t="s">
        <v>192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33" s="10" customFormat="1" ht="14" x14ac:dyDescent="0.3">
      <c r="A2" s="9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33" ht="14" x14ac:dyDescent="0.25">
      <c r="A3" s="88" t="s">
        <v>192</v>
      </c>
      <c r="B3" s="88" t="s">
        <v>208</v>
      </c>
      <c r="C3" s="88" t="s">
        <v>359</v>
      </c>
      <c r="D3" s="88" t="s">
        <v>360</v>
      </c>
      <c r="E3" s="88" t="s">
        <v>361</v>
      </c>
      <c r="F3" s="88" t="s">
        <v>362</v>
      </c>
      <c r="G3" s="88" t="s">
        <v>363</v>
      </c>
      <c r="H3" s="88" t="s">
        <v>364</v>
      </c>
      <c r="I3" s="88" t="s">
        <v>365</v>
      </c>
      <c r="J3" s="88" t="s">
        <v>366</v>
      </c>
      <c r="K3" s="88" t="s">
        <v>367</v>
      </c>
      <c r="L3" s="88" t="s">
        <v>368</v>
      </c>
      <c r="M3" s="88" t="s">
        <v>369</v>
      </c>
      <c r="N3" s="88" t="s">
        <v>370</v>
      </c>
      <c r="O3" s="88" t="s">
        <v>371</v>
      </c>
    </row>
    <row r="4" spans="1:33" s="5" customFormat="1" ht="13" x14ac:dyDescent="0.25">
      <c r="A4" s="69" t="s">
        <v>213</v>
      </c>
      <c r="B4" s="110" t="s">
        <v>18</v>
      </c>
      <c r="C4" s="110" t="s">
        <v>18</v>
      </c>
      <c r="D4" s="32" t="s">
        <v>12</v>
      </c>
      <c r="E4" s="32" t="s">
        <v>6</v>
      </c>
      <c r="F4" s="32" t="s">
        <v>12</v>
      </c>
      <c r="G4" s="32" t="s">
        <v>6</v>
      </c>
      <c r="H4" s="32" t="s">
        <v>12</v>
      </c>
      <c r="I4" s="32" t="s">
        <v>6</v>
      </c>
      <c r="J4" s="32" t="s">
        <v>6</v>
      </c>
      <c r="K4" s="32" t="s">
        <v>12</v>
      </c>
      <c r="L4" s="32" t="s">
        <v>6</v>
      </c>
      <c r="M4" s="32" t="s">
        <v>6</v>
      </c>
      <c r="N4" s="32" t="s">
        <v>12</v>
      </c>
      <c r="O4" s="32" t="s">
        <v>12</v>
      </c>
    </row>
    <row r="5" spans="1:33" ht="13" x14ac:dyDescent="0.25">
      <c r="A5" s="56" t="s">
        <v>214</v>
      </c>
      <c r="B5" s="110" t="s">
        <v>18</v>
      </c>
      <c r="C5" s="110" t="s">
        <v>18</v>
      </c>
      <c r="D5" s="155">
        <v>140.249</v>
      </c>
      <c r="E5" s="155">
        <v>140.47800000000001</v>
      </c>
      <c r="F5" s="155">
        <v>141.50400000000002</v>
      </c>
      <c r="G5" s="155">
        <v>141.51499999999999</v>
      </c>
      <c r="H5" s="155">
        <v>141.60899999999998</v>
      </c>
      <c r="I5" s="155">
        <v>141.95099999999999</v>
      </c>
      <c r="J5" s="155">
        <v>142.32900000000001</v>
      </c>
      <c r="K5" s="155">
        <v>142.50299999999999</v>
      </c>
      <c r="L5" s="155">
        <v>143.065</v>
      </c>
      <c r="M5" s="155">
        <v>143.18700000000001</v>
      </c>
      <c r="N5" s="155">
        <v>143.98599999999999</v>
      </c>
      <c r="O5" s="155">
        <v>144.04399999999998</v>
      </c>
    </row>
    <row r="6" spans="1:33" s="7" customFormat="1" ht="13" x14ac:dyDescent="0.25">
      <c r="A6" s="56" t="s">
        <v>372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Q6"/>
      <c r="R6"/>
      <c r="S6"/>
      <c r="T6"/>
      <c r="U6"/>
      <c r="V6"/>
      <c r="W6"/>
      <c r="X6"/>
      <c r="Y6"/>
    </row>
    <row r="7" spans="1:33" s="156" customFormat="1" x14ac:dyDescent="0.25">
      <c r="A7" s="50" t="s">
        <v>373</v>
      </c>
      <c r="B7" s="38">
        <v>100</v>
      </c>
      <c r="C7" s="38">
        <v>99.789655726164938</v>
      </c>
      <c r="D7" s="38">
        <v>100.53071664515967</v>
      </c>
      <c r="E7" s="38">
        <v>99.569121462818856</v>
      </c>
      <c r="F7" s="38">
        <v>100.87176743710276</v>
      </c>
      <c r="G7" s="38">
        <v>99.014636029784782</v>
      </c>
      <c r="H7" s="38">
        <v>102.56302564758055</v>
      </c>
      <c r="I7" s="38">
        <v>100.49463511388895</v>
      </c>
      <c r="J7" s="38">
        <v>99.397514016714752</v>
      </c>
      <c r="K7" s="38">
        <v>99.377734950602488</v>
      </c>
      <c r="L7" s="38">
        <v>100.68796531165921</v>
      </c>
      <c r="M7" s="38">
        <v>99.57406242212312</v>
      </c>
      <c r="N7" s="38">
        <v>104.06516049309505</v>
      </c>
      <c r="O7" s="38">
        <v>101.81012484650734</v>
      </c>
      <c r="P7" s="7"/>
      <c r="Q7"/>
      <c r="R7"/>
      <c r="S7"/>
      <c r="T7"/>
      <c r="U7"/>
      <c r="V7"/>
      <c r="W7"/>
      <c r="X7"/>
      <c r="Y7"/>
      <c r="Z7" s="7"/>
      <c r="AA7" s="7"/>
      <c r="AB7" s="7"/>
      <c r="AC7" s="7"/>
      <c r="AD7" s="7"/>
      <c r="AE7" s="7"/>
      <c r="AF7" s="7"/>
      <c r="AG7" s="7"/>
    </row>
    <row r="8" spans="1:33" s="21" customFormat="1" x14ac:dyDescent="0.25">
      <c r="A8" s="50" t="s">
        <v>374</v>
      </c>
      <c r="B8" s="38">
        <v>100</v>
      </c>
      <c r="C8" s="38">
        <v>100.54631242984406</v>
      </c>
      <c r="D8" s="38">
        <v>102.65374313336258</v>
      </c>
      <c r="E8" s="38">
        <v>100.95503958140799</v>
      </c>
      <c r="F8" s="38">
        <v>104.86026667831365</v>
      </c>
      <c r="G8" s="38">
        <v>100.52798084888053</v>
      </c>
      <c r="H8" s="38">
        <v>101.1103362947171</v>
      </c>
      <c r="I8" s="38">
        <v>98.432891428470441</v>
      </c>
      <c r="J8" s="38">
        <v>100.56855591369893</v>
      </c>
      <c r="K8" s="38">
        <v>97.398967476543575</v>
      </c>
      <c r="L8" s="38">
        <v>100.74690956526788</v>
      </c>
      <c r="M8" s="38">
        <v>102.04649724133861</v>
      </c>
      <c r="N8" s="38">
        <v>105.22453170212593</v>
      </c>
      <c r="O8" s="38">
        <v>103.808585564316</v>
      </c>
      <c r="P8" s="7"/>
      <c r="Q8"/>
      <c r="R8"/>
      <c r="S8"/>
      <c r="T8"/>
      <c r="U8"/>
      <c r="V8"/>
      <c r="W8"/>
      <c r="X8"/>
      <c r="Y8"/>
      <c r="Z8" s="7"/>
      <c r="AA8" s="7"/>
      <c r="AB8" s="7"/>
      <c r="AC8" s="7"/>
      <c r="AD8" s="7"/>
      <c r="AE8" s="7"/>
      <c r="AF8" s="7"/>
      <c r="AG8" s="7"/>
    </row>
    <row r="9" spans="1:33" s="21" customFormat="1" x14ac:dyDescent="0.25">
      <c r="A9" s="50" t="s">
        <v>375</v>
      </c>
      <c r="B9" s="38">
        <v>100</v>
      </c>
      <c r="C9" s="55">
        <v>100.15265736463145</v>
      </c>
      <c r="D9" s="38">
        <v>101.59222988926113</v>
      </c>
      <c r="E9" s="38">
        <v>100.22908247167082</v>
      </c>
      <c r="F9" s="38">
        <v>102.40580560679926</v>
      </c>
      <c r="G9" s="38">
        <v>99.73527641983037</v>
      </c>
      <c r="H9" s="38">
        <v>101.83668097114882</v>
      </c>
      <c r="I9" s="38">
        <v>99.524402791339057</v>
      </c>
      <c r="J9" s="38">
        <v>99.959614127267159</v>
      </c>
      <c r="K9" s="38">
        <v>98.4279265630542</v>
      </c>
      <c r="L9" s="38">
        <v>100.71615604164597</v>
      </c>
      <c r="M9" s="38">
        <v>100.75141233603526</v>
      </c>
      <c r="N9" s="38">
        <v>104.64484609761048</v>
      </c>
      <c r="O9" s="38">
        <v>102.57876358412607</v>
      </c>
      <c r="P9" s="7"/>
      <c r="Q9"/>
      <c r="R9"/>
      <c r="S9"/>
      <c r="T9"/>
      <c r="U9"/>
      <c r="V9"/>
      <c r="W9"/>
      <c r="X9"/>
      <c r="Y9"/>
      <c r="Z9" s="7"/>
      <c r="AA9" s="7"/>
      <c r="AB9" s="7"/>
      <c r="AC9" s="7"/>
      <c r="AD9" s="7"/>
      <c r="AE9" s="7"/>
      <c r="AF9" s="7"/>
      <c r="AG9" s="7"/>
    </row>
    <row r="10" spans="1:33" s="21" customFormat="1" x14ac:dyDescent="0.25">
      <c r="A10" s="51" t="s">
        <v>376</v>
      </c>
      <c r="B10" s="38">
        <v>100</v>
      </c>
      <c r="C10" s="38">
        <v>98.900373219315071</v>
      </c>
      <c r="D10" s="38">
        <v>97.108602825162762</v>
      </c>
      <c r="E10" s="38">
        <v>99.291586175964241</v>
      </c>
      <c r="F10" s="38">
        <v>98.214493438486443</v>
      </c>
      <c r="G10" s="38">
        <v>96.586232939802258</v>
      </c>
      <c r="H10" s="38">
        <v>101.03780924172933</v>
      </c>
      <c r="I10" s="38">
        <v>99.054155859573541</v>
      </c>
      <c r="J10" s="38">
        <v>99.871467274004885</v>
      </c>
      <c r="K10" s="38">
        <v>97.37377211344716</v>
      </c>
      <c r="L10" s="38">
        <v>98.427575627017518</v>
      </c>
      <c r="M10" s="38">
        <v>100.17122143952807</v>
      </c>
      <c r="N10" s="38">
        <v>99.379787609859292</v>
      </c>
      <c r="O10" s="38">
        <v>100.42738345073732</v>
      </c>
      <c r="P10" s="7"/>
      <c r="Q10"/>
      <c r="R10"/>
      <c r="S10"/>
      <c r="T10"/>
      <c r="U10"/>
      <c r="V10"/>
      <c r="W10"/>
      <c r="X10"/>
      <c r="Y10"/>
      <c r="Z10" s="7"/>
      <c r="AA10" s="7"/>
      <c r="AB10" s="7"/>
      <c r="AC10" s="7"/>
      <c r="AD10" s="7"/>
      <c r="AE10" s="7"/>
      <c r="AF10" s="7"/>
      <c r="AG10" s="7"/>
    </row>
    <row r="11" spans="1:33" s="21" customFormat="1" x14ac:dyDescent="0.25">
      <c r="A11" s="50" t="s">
        <v>377</v>
      </c>
      <c r="B11" s="38">
        <v>100</v>
      </c>
      <c r="C11" s="38">
        <v>96.156927485823431</v>
      </c>
      <c r="D11" s="55" t="s">
        <v>18</v>
      </c>
      <c r="E11" s="38">
        <v>92.29683220259021</v>
      </c>
      <c r="F11" s="55" t="s">
        <v>18</v>
      </c>
      <c r="G11" s="38">
        <v>103.10807661601878</v>
      </c>
      <c r="H11" s="55" t="s">
        <v>18</v>
      </c>
      <c r="I11" s="38">
        <v>93.754431937454655</v>
      </c>
      <c r="J11" s="38">
        <v>96.848644331631277</v>
      </c>
      <c r="K11" s="38">
        <v>93.229805014954906</v>
      </c>
      <c r="L11" s="38">
        <v>102.67231803962996</v>
      </c>
      <c r="M11" s="38">
        <v>88.261261787615751</v>
      </c>
      <c r="N11" s="55" t="s">
        <v>18</v>
      </c>
      <c r="O11" s="55" t="s">
        <v>18</v>
      </c>
      <c r="P11" s="7"/>
      <c r="Q11"/>
      <c r="R11"/>
      <c r="S11"/>
      <c r="T11"/>
      <c r="U11"/>
      <c r="V11"/>
      <c r="W11"/>
      <c r="X11"/>
      <c r="Y11"/>
      <c r="Z11" s="7"/>
      <c r="AA11" s="7"/>
      <c r="AB11" s="7"/>
      <c r="AC11" s="7"/>
      <c r="AD11" s="7"/>
      <c r="AE11" s="7"/>
      <c r="AF11" s="7"/>
      <c r="AG11" s="7"/>
    </row>
    <row r="12" spans="1:33" s="158" customFormat="1" ht="13" x14ac:dyDescent="0.25">
      <c r="A12" s="69" t="s">
        <v>378</v>
      </c>
      <c r="B12" s="61"/>
      <c r="C12" s="44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14"/>
      <c r="Q12" s="144"/>
      <c r="R12" s="14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3" s="21" customFormat="1" x14ac:dyDescent="0.25">
      <c r="A13" s="50" t="s">
        <v>379</v>
      </c>
      <c r="B13" s="38">
        <v>100</v>
      </c>
      <c r="C13" s="38">
        <v>100.88421006069709</v>
      </c>
      <c r="D13" s="38">
        <v>90.407809531942277</v>
      </c>
      <c r="E13" s="38">
        <v>100.6207417021003</v>
      </c>
      <c r="F13" s="38">
        <v>102.63421508928882</v>
      </c>
      <c r="G13" s="38">
        <v>103.20257131324685</v>
      </c>
      <c r="H13" s="38">
        <v>105.61333629737611</v>
      </c>
      <c r="I13" s="38">
        <v>98.336923796478473</v>
      </c>
      <c r="J13" s="38">
        <v>92.515010938509619</v>
      </c>
      <c r="K13" s="38">
        <v>106.28459068777525</v>
      </c>
      <c r="L13" s="38">
        <v>106.19669625291397</v>
      </c>
      <c r="M13" s="38">
        <v>104.4333163609332</v>
      </c>
      <c r="N13" s="38">
        <v>107.22697980434273</v>
      </c>
      <c r="O13" s="38">
        <v>106.61367661926201</v>
      </c>
      <c r="P13" s="7"/>
      <c r="Q13" s="144"/>
      <c r="R13" s="144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1:33" s="21" customFormat="1" x14ac:dyDescent="0.25">
      <c r="A14" s="48" t="s">
        <v>380</v>
      </c>
      <c r="B14" s="38">
        <v>100</v>
      </c>
      <c r="C14" s="38">
        <v>97.697247963248003</v>
      </c>
      <c r="D14" s="38">
        <v>100.23147210110798</v>
      </c>
      <c r="E14" s="38">
        <v>99.977513209453448</v>
      </c>
      <c r="F14" s="38">
        <v>101.66327170522429</v>
      </c>
      <c r="G14" s="38">
        <v>98.097674470655022</v>
      </c>
      <c r="H14" s="38">
        <v>100.42005875267606</v>
      </c>
      <c r="I14" s="38">
        <v>97.097723150868987</v>
      </c>
      <c r="J14" s="38">
        <v>98.049524097686472</v>
      </c>
      <c r="K14" s="38">
        <v>100.38983889764279</v>
      </c>
      <c r="L14" s="38">
        <v>94.944511485345146</v>
      </c>
      <c r="M14" s="38">
        <v>98.016541365478943</v>
      </c>
      <c r="N14" s="38">
        <v>99.908449552431449</v>
      </c>
      <c r="O14" s="38">
        <v>100.68565115989077</v>
      </c>
      <c r="P14" s="7"/>
      <c r="Q14" s="144"/>
      <c r="R14" s="144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</row>
    <row r="15" spans="1:33" s="21" customFormat="1" x14ac:dyDescent="0.25">
      <c r="A15" s="79" t="s">
        <v>381</v>
      </c>
      <c r="B15" s="44">
        <f>65+6.847</f>
        <v>71.846999999999994</v>
      </c>
      <c r="C15" s="44">
        <f>65+6.6611999668281</f>
        <v>71.661199966828093</v>
      </c>
      <c r="D15" s="44">
        <f>65+5.33446977045568</f>
        <v>70.334469770455684</v>
      </c>
      <c r="E15" s="44">
        <f>65+6.15832203639576</f>
        <v>71.158322036395759</v>
      </c>
      <c r="F15" s="44">
        <f>65+5.28625955060336</f>
        <v>70.286259550603361</v>
      </c>
      <c r="G15" s="44">
        <f>65+6.43104930912304</f>
        <v>71.43104930912304</v>
      </c>
      <c r="H15" s="44">
        <f>65+5.86677877179682</f>
        <v>70.866778771796817</v>
      </c>
      <c r="I15" s="44">
        <f>65+6.93480221093814</f>
        <v>71.934802210938145</v>
      </c>
      <c r="J15" s="44">
        <f>65+6.71384272269896</f>
        <v>71.713842722698956</v>
      </c>
      <c r="K15" s="44">
        <f>65+5.3855424818216</f>
        <v>70.385542481821602</v>
      </c>
      <c r="L15" s="44">
        <f>65+6.87358875814428</f>
        <v>71.87358875814428</v>
      </c>
      <c r="M15" s="44">
        <f>65+6.85559476366851</f>
        <v>71.855594763668506</v>
      </c>
      <c r="N15" s="44">
        <f>65+4.64198340751442</f>
        <v>69.641983407514417</v>
      </c>
      <c r="O15" s="44">
        <f>65+6.65807087508522</f>
        <v>71.658070875085215</v>
      </c>
      <c r="P15" s="7"/>
      <c r="Q15" s="144"/>
      <c r="R15" s="144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pans="1:33" s="21" customFormat="1" x14ac:dyDescent="0.25">
      <c r="A16" s="48" t="s">
        <v>382</v>
      </c>
      <c r="B16" s="38">
        <v>100</v>
      </c>
      <c r="C16" s="38">
        <v>100.97620871508585</v>
      </c>
      <c r="D16" s="38">
        <v>95.744364939654702</v>
      </c>
      <c r="E16" s="38">
        <v>101.88548996277277</v>
      </c>
      <c r="F16" s="38">
        <v>96.791898985409887</v>
      </c>
      <c r="G16" s="38">
        <v>95.925451317569681</v>
      </c>
      <c r="H16" s="38">
        <v>106.51865294419618</v>
      </c>
      <c r="I16" s="38">
        <v>100.72763011509568</v>
      </c>
      <c r="J16" s="38">
        <v>103.42019361316891</v>
      </c>
      <c r="K16" s="38">
        <v>96.225283912342334</v>
      </c>
      <c r="L16" s="38">
        <v>103.51339434445762</v>
      </c>
      <c r="M16" s="38">
        <v>100.38509293745051</v>
      </c>
      <c r="N16" s="38">
        <v>104.83266898056152</v>
      </c>
      <c r="O16" s="38">
        <v>99.680163548761072</v>
      </c>
      <c r="P16" s="7"/>
      <c r="Q16" s="144"/>
      <c r="R16" s="144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1:33" s="159" customFormat="1" x14ac:dyDescent="0.25">
      <c r="A17" s="111" t="s">
        <v>383</v>
      </c>
      <c r="B17" s="44">
        <f>65+0.43939</f>
        <v>65.439390000000003</v>
      </c>
      <c r="C17" s="44">
        <f>65+0.3925079163639</f>
        <v>65.392507916363897</v>
      </c>
      <c r="D17" s="44">
        <f>65+0.548352186023735</f>
        <v>65.548352186023735</v>
      </c>
      <c r="E17" s="44">
        <f>65+-0.258155046479132</f>
        <v>64.741844953520868</v>
      </c>
      <c r="F17" s="44">
        <f>65+-0.300794819037407</f>
        <v>64.699205180962593</v>
      </c>
      <c r="G17" s="44">
        <f>65+0.345058976678601</f>
        <v>65.345058976678601</v>
      </c>
      <c r="H17" s="44">
        <f>65+-0.763132577703331</f>
        <v>64.236867422296669</v>
      </c>
      <c r="I17" s="44">
        <f>65+0.883359211917067</f>
        <v>65.883359211917067</v>
      </c>
      <c r="J17" s="44">
        <f>65+0.412885278549652</f>
        <v>65.412885278549652</v>
      </c>
      <c r="K17" s="44">
        <f>65+0.0636657043159516</f>
        <v>65.063665704315952</v>
      </c>
      <c r="L17" s="44">
        <f>65+0.692054123996144</f>
        <v>65.692054123996144</v>
      </c>
      <c r="M17" s="44">
        <f>65+0.279844953520907</f>
        <v>65.279844953520907</v>
      </c>
      <c r="N17" s="44">
        <f>65+-0.508850662575767</f>
        <v>64.491149337424233</v>
      </c>
      <c r="O17" s="44">
        <f>65+0.8650919905065</f>
        <v>65.8650919905065</v>
      </c>
      <c r="P17" s="145"/>
      <c r="Q17" s="144"/>
      <c r="R17" s="144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</row>
    <row r="18" spans="1:33" s="21" customFormat="1" x14ac:dyDescent="0.25">
      <c r="A18" s="48" t="s">
        <v>384</v>
      </c>
      <c r="B18" s="38">
        <v>100</v>
      </c>
      <c r="C18" s="38">
        <v>100.97418168123139</v>
      </c>
      <c r="D18" s="38">
        <v>106.94483151090148</v>
      </c>
      <c r="E18" s="38">
        <v>96.906970077731359</v>
      </c>
      <c r="F18" s="38">
        <v>102.63875138268307</v>
      </c>
      <c r="G18" s="38">
        <v>101.18938000815022</v>
      </c>
      <c r="H18" s="38">
        <v>101.3514505339519</v>
      </c>
      <c r="I18" s="38">
        <v>105.13358360303447</v>
      </c>
      <c r="J18" s="38">
        <v>99.7959461424675</v>
      </c>
      <c r="K18" s="38">
        <v>98.259620649054796</v>
      </c>
      <c r="L18" s="38">
        <v>103.61579555664153</v>
      </c>
      <c r="M18" s="38">
        <v>99.203414699363108</v>
      </c>
      <c r="N18" s="38">
        <v>107.69364263356395</v>
      </c>
      <c r="O18" s="38">
        <v>103.12852754440085</v>
      </c>
      <c r="P18" s="7"/>
      <c r="Q18" s="144"/>
      <c r="R18" s="144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</row>
    <row r="19" spans="1:33" s="19" customFormat="1" ht="13" x14ac:dyDescent="0.25">
      <c r="A19" s="54" t="s">
        <v>239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7"/>
      <c r="Q19" s="144"/>
      <c r="R19" s="144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1:33" s="7" customFormat="1" x14ac:dyDescent="0.25">
      <c r="A20" s="59" t="s">
        <v>385</v>
      </c>
      <c r="B20" s="38">
        <v>60.84</v>
      </c>
      <c r="C20" s="38">
        <v>62.928587543732398</v>
      </c>
      <c r="D20" s="38">
        <v>61.845896055549062</v>
      </c>
      <c r="E20" s="38">
        <v>60.700266063807696</v>
      </c>
      <c r="F20" s="38">
        <v>66.098486367286625</v>
      </c>
      <c r="G20" s="38">
        <v>62.841175154716758</v>
      </c>
      <c r="H20" s="38">
        <v>62.915237903144707</v>
      </c>
      <c r="I20" s="38">
        <v>65.396440827228147</v>
      </c>
      <c r="J20" s="38">
        <v>62.598502416552371</v>
      </c>
      <c r="K20" s="38">
        <v>61.744202155439517</v>
      </c>
      <c r="L20" s="38">
        <v>63.207602009008973</v>
      </c>
      <c r="M20" s="38">
        <v>62.827538791080386</v>
      </c>
      <c r="N20" s="38">
        <v>69.068712103425824</v>
      </c>
      <c r="O20" s="38">
        <v>65.29845329411576</v>
      </c>
      <c r="Q20" s="144"/>
      <c r="R20" s="144"/>
    </row>
    <row r="21" spans="1:33" s="7" customFormat="1" x14ac:dyDescent="0.25">
      <c r="A21" s="111" t="s">
        <v>386</v>
      </c>
      <c r="B21" s="38">
        <v>52.427999999999997</v>
      </c>
      <c r="C21" s="38">
        <v>54.073853974107919</v>
      </c>
      <c r="D21" s="38">
        <v>58.117662578847835</v>
      </c>
      <c r="E21" s="38">
        <v>46.455296179628682</v>
      </c>
      <c r="F21" s="38">
        <v>61.111006977788598</v>
      </c>
      <c r="G21" s="38">
        <v>53.889496179628694</v>
      </c>
      <c r="H21" s="38">
        <v>52.086887929762817</v>
      </c>
      <c r="I21" s="38">
        <v>56.690420975518563</v>
      </c>
      <c r="J21" s="38">
        <v>55.875752930169881</v>
      </c>
      <c r="K21" s="38">
        <v>52.950906913058425</v>
      </c>
      <c r="L21" s="38">
        <v>54.514361400072978</v>
      </c>
      <c r="M21" s="38">
        <v>57.017796179628689</v>
      </c>
      <c r="N21" s="38">
        <v>58.71623559776539</v>
      </c>
      <c r="O21" s="38">
        <v>59.280241089606442</v>
      </c>
      <c r="Q21" s="144"/>
      <c r="R21" s="144"/>
    </row>
    <row r="22" spans="1:33" s="22" customFormat="1" x14ac:dyDescent="0.25">
      <c r="A22" s="47" t="s">
        <v>240</v>
      </c>
      <c r="B22" s="44">
        <v>7.6019800000000002</v>
      </c>
      <c r="C22" s="44">
        <v>7.5468204646344681</v>
      </c>
      <c r="D22" s="60" t="s">
        <v>344</v>
      </c>
      <c r="E22" s="44">
        <v>7.3252041468210134</v>
      </c>
      <c r="F22" s="60" t="s">
        <v>387</v>
      </c>
      <c r="G22" s="44">
        <v>7.6421627804815158</v>
      </c>
      <c r="H22" s="60" t="s">
        <v>18</v>
      </c>
      <c r="I22" s="44">
        <v>7.5625459335272618</v>
      </c>
      <c r="J22" s="60">
        <v>7.1941228620145887</v>
      </c>
      <c r="K22" s="44">
        <v>8.2186946949270485</v>
      </c>
      <c r="L22" s="60">
        <v>7.6405057849202187</v>
      </c>
      <c r="M22" s="44">
        <v>7.9163812800422111</v>
      </c>
      <c r="N22" s="60" t="s">
        <v>18</v>
      </c>
      <c r="O22" s="60" t="s">
        <v>344</v>
      </c>
      <c r="P22" s="7"/>
      <c r="Q22" s="144"/>
      <c r="R22" s="144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3" s="160" customFormat="1" ht="13" x14ac:dyDescent="0.25">
      <c r="A23" s="69" t="s">
        <v>241</v>
      </c>
      <c r="B23" s="61"/>
      <c r="C23" s="61"/>
      <c r="D23" s="44"/>
      <c r="E23" s="61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14"/>
      <c r="Q23" s="14"/>
      <c r="R23" s="14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pans="1:33" s="161" customFormat="1" x14ac:dyDescent="0.25">
      <c r="A24" s="59" t="s">
        <v>242</v>
      </c>
      <c r="B24" s="60">
        <v>7.3636363636363633</v>
      </c>
      <c r="C24" s="60">
        <v>7.5000000000000009</v>
      </c>
      <c r="D24" s="60" t="s">
        <v>388</v>
      </c>
      <c r="E24" s="44">
        <v>6.5</v>
      </c>
      <c r="F24" s="60">
        <v>8.9</v>
      </c>
      <c r="G24" s="60">
        <v>8.3000000000000007</v>
      </c>
      <c r="H24" s="60">
        <v>8.3000000000000007</v>
      </c>
      <c r="I24" s="44">
        <v>7.4</v>
      </c>
      <c r="J24" s="60">
        <v>7.2</v>
      </c>
      <c r="K24" s="60">
        <v>7.3</v>
      </c>
      <c r="L24" s="60">
        <v>7.1</v>
      </c>
      <c r="M24" s="60">
        <v>8.5</v>
      </c>
      <c r="N24" s="60">
        <v>8.1</v>
      </c>
      <c r="O24" s="60">
        <v>8.9</v>
      </c>
      <c r="P24" s="189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1:33" s="162" customFormat="1" x14ac:dyDescent="0.25">
      <c r="A25" s="59" t="s">
        <v>243</v>
      </c>
      <c r="B25" s="60">
        <v>5.6090909090909093</v>
      </c>
      <c r="C25" s="60">
        <v>4.5333333333333332</v>
      </c>
      <c r="D25" s="60">
        <v>5.0999999999999996</v>
      </c>
      <c r="E25" s="44">
        <v>4.0999999999999996</v>
      </c>
      <c r="F25" s="60" t="s">
        <v>389</v>
      </c>
      <c r="G25" s="60">
        <v>4.5</v>
      </c>
      <c r="H25" s="60">
        <v>3.1</v>
      </c>
      <c r="I25" s="60">
        <v>4.4000000000000004</v>
      </c>
      <c r="J25" s="60">
        <v>4.9000000000000004</v>
      </c>
      <c r="K25" s="60">
        <v>5.2</v>
      </c>
      <c r="L25" s="60">
        <v>4.5</v>
      </c>
      <c r="M25" s="60">
        <v>4.8</v>
      </c>
      <c r="N25" s="60">
        <v>3.7</v>
      </c>
      <c r="O25" s="60" t="s">
        <v>390</v>
      </c>
      <c r="P25" s="189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1:33" s="161" customFormat="1" x14ac:dyDescent="0.25">
      <c r="A26" s="59" t="s">
        <v>244</v>
      </c>
      <c r="B26" s="60">
        <v>7.2727272727272725</v>
      </c>
      <c r="C26" s="60">
        <v>7.8500000000000005</v>
      </c>
      <c r="D26" s="60">
        <v>8.1999999999999993</v>
      </c>
      <c r="E26" s="60">
        <v>7.3</v>
      </c>
      <c r="F26" s="60">
        <v>5.9</v>
      </c>
      <c r="G26" s="60">
        <v>7.9</v>
      </c>
      <c r="H26" s="60" t="s">
        <v>391</v>
      </c>
      <c r="I26" s="60">
        <v>8.1999999999999993</v>
      </c>
      <c r="J26" s="60">
        <v>7.8</v>
      </c>
      <c r="K26" s="60">
        <v>7.9</v>
      </c>
      <c r="L26" s="60">
        <v>8</v>
      </c>
      <c r="M26" s="60">
        <v>7.9</v>
      </c>
      <c r="N26" s="60" t="s">
        <v>391</v>
      </c>
      <c r="O26" s="60">
        <v>8.1</v>
      </c>
      <c r="P26" s="189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1:33" s="162" customFormat="1" x14ac:dyDescent="0.25">
      <c r="A27" s="59" t="s">
        <v>392</v>
      </c>
      <c r="B27" s="60">
        <v>6.536363636363637</v>
      </c>
      <c r="C27" s="60">
        <v>6.0666666666666673</v>
      </c>
      <c r="D27" s="60" t="s">
        <v>18</v>
      </c>
      <c r="E27" s="44">
        <v>6.9</v>
      </c>
      <c r="F27" s="60" t="s">
        <v>393</v>
      </c>
      <c r="G27" s="60">
        <v>6.3</v>
      </c>
      <c r="H27" s="60" t="s">
        <v>18</v>
      </c>
      <c r="I27" s="60">
        <v>5.4</v>
      </c>
      <c r="J27" s="60" t="s">
        <v>394</v>
      </c>
      <c r="K27" s="60" t="s">
        <v>343</v>
      </c>
      <c r="L27" s="60">
        <v>5</v>
      </c>
      <c r="M27" s="60">
        <v>8</v>
      </c>
      <c r="N27" s="60" t="s">
        <v>18</v>
      </c>
      <c r="O27" s="60" t="s">
        <v>387</v>
      </c>
      <c r="P27" s="189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1:33" s="161" customFormat="1" x14ac:dyDescent="0.25">
      <c r="A28" s="59" t="s">
        <v>395</v>
      </c>
      <c r="B28" s="44">
        <v>4.8443181818181822</v>
      </c>
      <c r="C28" s="44">
        <v>4.5999999999999996</v>
      </c>
      <c r="D28" s="60" t="s">
        <v>18</v>
      </c>
      <c r="E28" s="60">
        <v>6.2</v>
      </c>
      <c r="F28" s="60" t="s">
        <v>18</v>
      </c>
      <c r="G28" s="60">
        <v>3.8</v>
      </c>
      <c r="H28" s="60" t="s">
        <v>18</v>
      </c>
      <c r="I28" s="60">
        <v>4.5999999999999996</v>
      </c>
      <c r="J28" s="60" t="s">
        <v>18</v>
      </c>
      <c r="K28" s="60" t="s">
        <v>18</v>
      </c>
      <c r="L28" s="60" t="s">
        <v>18</v>
      </c>
      <c r="M28" s="60">
        <v>3.8</v>
      </c>
      <c r="N28" s="60" t="s">
        <v>18</v>
      </c>
      <c r="O28" s="60" t="s">
        <v>18</v>
      </c>
      <c r="P28" s="189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1:33" s="157" customFormat="1" ht="13" x14ac:dyDescent="0.25">
      <c r="A29" s="54" t="s">
        <v>245</v>
      </c>
      <c r="B29" s="44"/>
      <c r="C29" s="44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189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 s="160" customFormat="1" x14ac:dyDescent="0.25">
      <c r="A30" s="59" t="s">
        <v>246</v>
      </c>
      <c r="B30" s="39" t="s">
        <v>18</v>
      </c>
      <c r="C30" s="39" t="s">
        <v>18</v>
      </c>
      <c r="D30" s="39">
        <v>2026</v>
      </c>
      <c r="E30" s="39">
        <v>2012</v>
      </c>
      <c r="F30" s="39">
        <v>2024</v>
      </c>
      <c r="G30" s="61">
        <v>2004</v>
      </c>
      <c r="H30" s="39">
        <v>2025</v>
      </c>
      <c r="I30" s="61">
        <v>2001</v>
      </c>
      <c r="J30" s="39">
        <v>2021</v>
      </c>
      <c r="K30" s="39">
        <v>2022</v>
      </c>
      <c r="L30" s="39">
        <v>2020</v>
      </c>
      <c r="M30" s="61">
        <v>2004</v>
      </c>
      <c r="N30" s="39">
        <v>2025</v>
      </c>
      <c r="O30" s="39">
        <v>2024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1:33" s="160" customFormat="1" x14ac:dyDescent="0.25">
      <c r="A31" s="47" t="s">
        <v>247</v>
      </c>
      <c r="B31" s="39" t="s">
        <v>18</v>
      </c>
      <c r="C31" s="39" t="s">
        <v>18</v>
      </c>
      <c r="D31" s="90" t="s">
        <v>165</v>
      </c>
      <c r="E31" s="39" t="s">
        <v>159</v>
      </c>
      <c r="F31" s="90" t="s">
        <v>165</v>
      </c>
      <c r="G31" s="61" t="s">
        <v>289</v>
      </c>
      <c r="H31" s="39" t="s">
        <v>156</v>
      </c>
      <c r="I31" s="39" t="s">
        <v>156</v>
      </c>
      <c r="J31" s="39" t="s">
        <v>159</v>
      </c>
      <c r="K31" s="58" t="s">
        <v>396</v>
      </c>
      <c r="L31" s="39" t="s">
        <v>159</v>
      </c>
      <c r="M31" s="90" t="s">
        <v>165</v>
      </c>
      <c r="N31" s="61" t="s">
        <v>156</v>
      </c>
      <c r="O31" s="90" t="s">
        <v>165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1:33" s="160" customFormat="1" x14ac:dyDescent="0.25">
      <c r="A32" s="47" t="s">
        <v>248</v>
      </c>
      <c r="B32" s="39" t="s">
        <v>18</v>
      </c>
      <c r="C32" s="39" t="s">
        <v>18</v>
      </c>
      <c r="D32" s="90" t="s">
        <v>162</v>
      </c>
      <c r="E32" s="39" t="s">
        <v>159</v>
      </c>
      <c r="F32" s="90" t="s">
        <v>162</v>
      </c>
      <c r="G32" s="61" t="s">
        <v>156</v>
      </c>
      <c r="H32" s="39" t="s">
        <v>156</v>
      </c>
      <c r="I32" s="39" t="s">
        <v>156</v>
      </c>
      <c r="J32" s="39" t="s">
        <v>159</v>
      </c>
      <c r="K32" s="58" t="s">
        <v>267</v>
      </c>
      <c r="L32" s="39" t="s">
        <v>159</v>
      </c>
      <c r="M32" s="61" t="s">
        <v>249</v>
      </c>
      <c r="N32" s="61" t="s">
        <v>289</v>
      </c>
      <c r="O32" s="90" t="s">
        <v>162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1:33" s="19" customFormat="1" ht="13" x14ac:dyDescent="0.25">
      <c r="A33" s="53" t="s">
        <v>250</v>
      </c>
      <c r="B33" s="39" t="s">
        <v>18</v>
      </c>
      <c r="C33" s="39" t="s">
        <v>18</v>
      </c>
      <c r="D33" s="33"/>
      <c r="E33" s="38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s="156" customFormat="1" x14ac:dyDescent="0.25">
      <c r="A34" s="47" t="s">
        <v>397</v>
      </c>
      <c r="B34" s="39" t="s">
        <v>18</v>
      </c>
      <c r="C34" s="39" t="s">
        <v>18</v>
      </c>
      <c r="D34" s="39" t="s">
        <v>18</v>
      </c>
      <c r="E34" s="55">
        <v>9</v>
      </c>
      <c r="F34" s="39" t="s">
        <v>18</v>
      </c>
      <c r="G34" s="61">
        <v>6</v>
      </c>
      <c r="H34" s="39" t="s">
        <v>18</v>
      </c>
      <c r="I34" s="61">
        <v>12</v>
      </c>
      <c r="J34" s="61">
        <v>3</v>
      </c>
      <c r="K34" s="61">
        <v>3</v>
      </c>
      <c r="L34" s="61">
        <v>4</v>
      </c>
      <c r="M34" s="61">
        <v>7</v>
      </c>
      <c r="N34" s="39" t="s">
        <v>18</v>
      </c>
      <c r="O34" s="39" t="s">
        <v>18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s="21" customFormat="1" x14ac:dyDescent="0.25">
      <c r="A35" s="47" t="s">
        <v>251</v>
      </c>
      <c r="B35" s="39" t="s">
        <v>18</v>
      </c>
      <c r="C35" s="39" t="s">
        <v>18</v>
      </c>
      <c r="D35" s="61">
        <v>6</v>
      </c>
      <c r="E35" s="55">
        <v>11</v>
      </c>
      <c r="F35" s="61">
        <v>8</v>
      </c>
      <c r="G35" s="61">
        <v>11</v>
      </c>
      <c r="H35" s="61">
        <v>5</v>
      </c>
      <c r="I35" s="61">
        <v>27</v>
      </c>
      <c r="J35" s="61">
        <v>13</v>
      </c>
      <c r="K35" s="61">
        <v>13</v>
      </c>
      <c r="L35" s="61">
        <v>12</v>
      </c>
      <c r="M35" s="61">
        <v>11</v>
      </c>
      <c r="N35" s="61">
        <v>5</v>
      </c>
      <c r="O35" s="61">
        <v>8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s="21" customFormat="1" x14ac:dyDescent="0.25">
      <c r="A36" s="47" t="s">
        <v>252</v>
      </c>
      <c r="B36" s="39" t="s">
        <v>18</v>
      </c>
      <c r="C36" s="39" t="s">
        <v>18</v>
      </c>
      <c r="D36" s="61">
        <v>6</v>
      </c>
      <c r="E36" s="39">
        <v>10</v>
      </c>
      <c r="F36" s="61">
        <v>5</v>
      </c>
      <c r="G36" s="61">
        <v>10</v>
      </c>
      <c r="H36" s="61">
        <v>5</v>
      </c>
      <c r="I36" s="61">
        <v>24</v>
      </c>
      <c r="J36" s="61">
        <v>12</v>
      </c>
      <c r="K36" s="61">
        <v>12</v>
      </c>
      <c r="L36" s="61">
        <v>11</v>
      </c>
      <c r="M36" s="61">
        <v>10</v>
      </c>
      <c r="N36" s="61">
        <v>5</v>
      </c>
      <c r="O36" s="61">
        <v>5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x14ac:dyDescent="0.25">
      <c r="A37" s="94" t="s">
        <v>398</v>
      </c>
      <c r="B37" s="39" t="s">
        <v>18</v>
      </c>
      <c r="C37" s="39"/>
      <c r="D37" s="190"/>
      <c r="E37" s="113"/>
      <c r="F37" s="190"/>
      <c r="G37" s="190"/>
      <c r="H37" s="190"/>
      <c r="I37" s="190"/>
      <c r="J37" s="190"/>
      <c r="K37" s="190"/>
      <c r="L37" s="190"/>
      <c r="M37" s="190"/>
      <c r="N37" s="190"/>
      <c r="O37" s="190"/>
    </row>
    <row r="38" spans="1:33" x14ac:dyDescent="0.25">
      <c r="A38" s="94" t="s">
        <v>399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</row>
    <row r="39" spans="1:33" x14ac:dyDescent="0.25">
      <c r="A39" s="94" t="s">
        <v>400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</row>
    <row r="40" spans="1:33" ht="13" x14ac:dyDescent="0.3">
      <c r="A40" s="115" t="s">
        <v>259</v>
      </c>
      <c r="B40" s="114"/>
      <c r="C40" s="114"/>
      <c r="D40" s="113"/>
      <c r="E40" s="114"/>
      <c r="F40" s="113"/>
      <c r="G40" s="113"/>
      <c r="H40" s="113"/>
      <c r="I40" s="113"/>
      <c r="J40" s="113"/>
      <c r="K40" s="113"/>
      <c r="L40" s="113"/>
      <c r="M40" s="113"/>
      <c r="N40" s="113"/>
      <c r="O40" s="113"/>
    </row>
    <row r="41" spans="1:33" x14ac:dyDescent="0.25">
      <c r="D41"/>
      <c r="E41"/>
      <c r="F41"/>
      <c r="G41"/>
      <c r="H41"/>
      <c r="I41"/>
      <c r="J41"/>
      <c r="K41"/>
      <c r="L41"/>
      <c r="M41"/>
      <c r="N41"/>
      <c r="O41"/>
    </row>
    <row r="42" spans="1:33" x14ac:dyDescent="0.25"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</row>
    <row r="43" spans="1:33" x14ac:dyDescent="0.25"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</row>
  </sheetData>
  <sheetProtection algorithmName="SHA-512" hashValue="uavEyJxz5irkwwPW6UxB7efsNM0aCBqsW3OtDBRb0N2eRb1NUI2BHGFnDdaX7bNdCdaOFZJsWWOCWsg/EfZVsQ==" saltValue="JHSsGQg/CQ3nFQX3Q219zg==" spinCount="100000" sheet="1" objects="1" scenarios="1"/>
  <phoneticPr fontId="8" type="noConversion"/>
  <printOptions horizontalCentered="1" verticalCentered="1"/>
  <pageMargins left="0.39370078740157483" right="0.39370078740157483" top="0.39370078740157483" bottom="0.39370078740157483" header="0.19685039370078741" footer="0.15748031496062992"/>
  <pageSetup paperSize="8" scale="75" orientation="landscape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BY43"/>
  <sheetViews>
    <sheetView zoomScale="90" zoomScaleNormal="90" workbookViewId="0">
      <selection activeCell="A21" sqref="A21"/>
    </sheetView>
  </sheetViews>
  <sheetFormatPr defaultColWidth="9.26953125" defaultRowHeight="12.5" x14ac:dyDescent="0.25"/>
  <cols>
    <col min="1" max="1" width="125.453125" bestFit="1" customWidth="1"/>
    <col min="2" max="2" width="23.7265625" style="118" bestFit="1" customWidth="1"/>
    <col min="3" max="3" width="30.1796875" style="118" bestFit="1" customWidth="1"/>
    <col min="4" max="4" width="8.81640625" style="118" bestFit="1" customWidth="1"/>
    <col min="5" max="5" width="10.81640625" style="118" bestFit="1" customWidth="1"/>
    <col min="6" max="6" width="11.26953125" style="118" bestFit="1" customWidth="1"/>
    <col min="7" max="7" width="14.26953125" style="118" bestFit="1" customWidth="1"/>
    <col min="8" max="8" width="9.81640625" style="118" bestFit="1" customWidth="1"/>
    <col min="9" max="9" width="11" style="118" bestFit="1" customWidth="1"/>
    <col min="10" max="10" width="9.54296875" style="118" bestFit="1" customWidth="1"/>
    <col min="11" max="11" width="11.26953125" style="118" bestFit="1" customWidth="1"/>
    <col min="12" max="12" width="14.453125" style="118" bestFit="1" customWidth="1"/>
    <col min="13" max="13" width="11.1796875" style="118" customWidth="1"/>
  </cols>
  <sheetData>
    <row r="1" spans="1:77" s="10" customFormat="1" ht="14" x14ac:dyDescent="0.3">
      <c r="A1" s="9" t="s">
        <v>195</v>
      </c>
      <c r="B1" s="26"/>
      <c r="C1" s="26"/>
      <c r="D1" s="26"/>
      <c r="E1" s="109"/>
      <c r="F1" s="26"/>
      <c r="G1" s="109"/>
      <c r="H1" s="109"/>
      <c r="I1" s="109"/>
      <c r="J1" s="109"/>
      <c r="K1" s="109"/>
      <c r="L1" s="109"/>
      <c r="M1" s="109"/>
    </row>
    <row r="2" spans="1:77" ht="14" x14ac:dyDescent="0.3">
      <c r="A2" s="27"/>
      <c r="B2" s="28"/>
      <c r="C2" s="28"/>
      <c r="D2" s="26"/>
      <c r="E2" s="28"/>
      <c r="F2" s="26"/>
      <c r="G2" s="28"/>
      <c r="H2" s="28"/>
      <c r="I2" s="28"/>
      <c r="J2" s="28"/>
      <c r="K2" s="28"/>
      <c r="L2" s="28"/>
      <c r="M2" s="28"/>
    </row>
    <row r="3" spans="1:77" ht="14" x14ac:dyDescent="0.25">
      <c r="A3" s="88" t="s">
        <v>195</v>
      </c>
      <c r="B3" s="88" t="s">
        <v>208</v>
      </c>
      <c r="C3" s="88" t="s">
        <v>401</v>
      </c>
      <c r="D3" s="88" t="s">
        <v>402</v>
      </c>
      <c r="E3" s="88" t="s">
        <v>403</v>
      </c>
      <c r="F3" s="88" t="s">
        <v>404</v>
      </c>
      <c r="G3" s="88" t="s">
        <v>405</v>
      </c>
      <c r="H3" s="88" t="s">
        <v>406</v>
      </c>
      <c r="I3" s="88" t="s">
        <v>407</v>
      </c>
      <c r="J3" s="88" t="s">
        <v>408</v>
      </c>
      <c r="K3" s="88" t="s">
        <v>409</v>
      </c>
      <c r="L3" s="88" t="s">
        <v>410</v>
      </c>
      <c r="M3" s="88" t="s">
        <v>411</v>
      </c>
    </row>
    <row r="4" spans="1:77" ht="13" x14ac:dyDescent="0.25">
      <c r="A4" s="69" t="s">
        <v>213</v>
      </c>
      <c r="B4" s="110" t="s">
        <v>18</v>
      </c>
      <c r="C4" s="110" t="s">
        <v>18</v>
      </c>
      <c r="D4" s="32" t="s">
        <v>12</v>
      </c>
      <c r="E4" s="32" t="s">
        <v>6</v>
      </c>
      <c r="F4" s="32" t="s">
        <v>12</v>
      </c>
      <c r="G4" s="32" t="s">
        <v>9</v>
      </c>
      <c r="H4" s="32" t="s">
        <v>6</v>
      </c>
      <c r="I4" s="32" t="s">
        <v>9</v>
      </c>
      <c r="J4" s="32" t="s">
        <v>9</v>
      </c>
      <c r="K4" s="32" t="s">
        <v>6</v>
      </c>
      <c r="L4" s="32" t="s">
        <v>6</v>
      </c>
      <c r="M4" s="32" t="s">
        <v>6</v>
      </c>
      <c r="O4" s="164"/>
      <c r="P4" s="164"/>
      <c r="Q4" s="164"/>
      <c r="R4" s="164"/>
      <c r="S4" s="164"/>
      <c r="T4" s="164"/>
      <c r="U4" s="164"/>
      <c r="V4" s="164"/>
      <c r="W4" s="164"/>
      <c r="X4" s="165"/>
      <c r="Y4" s="164"/>
      <c r="Z4" s="165"/>
    </row>
    <row r="5" spans="1:77" ht="13" x14ac:dyDescent="0.25">
      <c r="A5" s="56" t="s">
        <v>214</v>
      </c>
      <c r="B5" s="110" t="s">
        <v>18</v>
      </c>
      <c r="C5" s="110" t="s">
        <v>18</v>
      </c>
      <c r="D5" s="155">
        <v>139.04300000000001</v>
      </c>
      <c r="E5" s="33">
        <v>139.38800000000001</v>
      </c>
      <c r="F5" s="155">
        <v>139.43099999999998</v>
      </c>
      <c r="G5" s="33">
        <v>139.745</v>
      </c>
      <c r="H5" s="33">
        <v>139.84300000000002</v>
      </c>
      <c r="I5" s="33">
        <v>140.24</v>
      </c>
      <c r="J5" s="33">
        <v>140.785</v>
      </c>
      <c r="K5" s="33">
        <v>141.084</v>
      </c>
      <c r="L5" s="33">
        <v>141.125</v>
      </c>
      <c r="M5" s="33">
        <v>142.07</v>
      </c>
      <c r="P5" s="164"/>
      <c r="Q5" s="164"/>
    </row>
    <row r="6" spans="1:77" s="21" customFormat="1" ht="13" x14ac:dyDescent="0.25">
      <c r="A6" s="56" t="s">
        <v>372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7"/>
      <c r="P6" s="164"/>
      <c r="Q6" s="164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77" s="21" customFormat="1" x14ac:dyDescent="0.25">
      <c r="A7" s="50" t="s">
        <v>373</v>
      </c>
      <c r="B7" s="38">
        <v>100</v>
      </c>
      <c r="C7" s="38">
        <v>100.25241312860213</v>
      </c>
      <c r="D7" s="38">
        <v>102.75506332449369</v>
      </c>
      <c r="E7" s="38">
        <v>99.641588865948094</v>
      </c>
      <c r="F7" s="38">
        <v>105.22499398114752</v>
      </c>
      <c r="G7" s="38">
        <v>103.00705820111571</v>
      </c>
      <c r="H7" s="38">
        <v>100.47325875358631</v>
      </c>
      <c r="I7" s="38">
        <v>101.89293545027301</v>
      </c>
      <c r="J7" s="38">
        <v>101.59637373670576</v>
      </c>
      <c r="K7" s="38">
        <v>100.00263709403934</v>
      </c>
      <c r="L7" s="38">
        <v>99.745349011337609</v>
      </c>
      <c r="M7" s="38">
        <v>101.39923191809919</v>
      </c>
      <c r="N7" s="7"/>
      <c r="P7" s="164"/>
      <c r="Q7" s="164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</row>
    <row r="8" spans="1:77" s="21" customFormat="1" x14ac:dyDescent="0.25">
      <c r="A8" s="50" t="s">
        <v>374</v>
      </c>
      <c r="B8" s="38">
        <v>100</v>
      </c>
      <c r="C8" s="38">
        <v>99.344425084187122</v>
      </c>
      <c r="D8" s="38">
        <v>104.00174326929428</v>
      </c>
      <c r="E8" s="38">
        <v>102.46357078767387</v>
      </c>
      <c r="F8" s="38">
        <v>101.34414755968132</v>
      </c>
      <c r="G8" s="38">
        <v>93.221831252811768</v>
      </c>
      <c r="H8" s="38">
        <v>96.088961964751633</v>
      </c>
      <c r="I8" s="38">
        <v>94.491348379092528</v>
      </c>
      <c r="J8" s="38">
        <v>95.018274493689887</v>
      </c>
      <c r="K8" s="38">
        <v>99.75984067354824</v>
      </c>
      <c r="L8" s="38">
        <v>99.805206986815293</v>
      </c>
      <c r="M8" s="38">
        <v>98.604545008146587</v>
      </c>
      <c r="N8" s="7"/>
      <c r="O8" s="144"/>
      <c r="P8" s="164"/>
      <c r="Q8" s="164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</row>
    <row r="9" spans="1:77" s="21" customFormat="1" x14ac:dyDescent="0.25">
      <c r="A9" s="50" t="s">
        <v>375</v>
      </c>
      <c r="B9" s="38">
        <v>100</v>
      </c>
      <c r="C9" s="55">
        <v>99.825802930719234</v>
      </c>
      <c r="D9" s="38">
        <v>103.37840329689398</v>
      </c>
      <c r="E9" s="38">
        <v>100.9853897810556</v>
      </c>
      <c r="F9" s="38">
        <v>103.28457077041442</v>
      </c>
      <c r="G9" s="38">
        <v>98.310149265929837</v>
      </c>
      <c r="H9" s="38">
        <v>98.421034724770081</v>
      </c>
      <c r="I9" s="38">
        <v>98.353045981447579</v>
      </c>
      <c r="J9" s="38">
        <v>98.450326272654706</v>
      </c>
      <c r="K9" s="38">
        <v>99.886094812203609</v>
      </c>
      <c r="L9" s="38">
        <v>99.773852809184135</v>
      </c>
      <c r="M9" s="38">
        <v>100.06264252638275</v>
      </c>
      <c r="N9" s="7"/>
      <c r="O9" s="144"/>
      <c r="P9" s="164"/>
      <c r="Q9" s="164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</row>
    <row r="10" spans="1:77" s="21" customFormat="1" x14ac:dyDescent="0.25">
      <c r="A10" s="51" t="s">
        <v>412</v>
      </c>
      <c r="B10" s="38">
        <v>100</v>
      </c>
      <c r="C10" s="38">
        <v>101.31955213682191</v>
      </c>
      <c r="D10" s="38">
        <v>100.83097112307209</v>
      </c>
      <c r="E10" s="38">
        <v>98.99523926822252</v>
      </c>
      <c r="F10" s="38">
        <v>105.7301590839736</v>
      </c>
      <c r="G10" s="38">
        <v>101.30297865624011</v>
      </c>
      <c r="H10" s="38">
        <v>102.54414108747616</v>
      </c>
      <c r="I10" s="38">
        <v>99.759202135883072</v>
      </c>
      <c r="J10" s="38">
        <v>103.17276285855833</v>
      </c>
      <c r="K10" s="38">
        <v>100.66338011995103</v>
      </c>
      <c r="L10" s="38">
        <v>101.27693075832362</v>
      </c>
      <c r="M10" s="38">
        <v>103.11806945013616</v>
      </c>
      <c r="N10" s="7"/>
      <c r="O10" s="144"/>
      <c r="P10" s="164"/>
      <c r="Q10" s="164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</row>
    <row r="11" spans="1:77" s="21" customFormat="1" x14ac:dyDescent="0.25">
      <c r="A11" s="50" t="s">
        <v>377</v>
      </c>
      <c r="B11" s="38">
        <v>100</v>
      </c>
      <c r="C11" s="38">
        <v>104.61168701701187</v>
      </c>
      <c r="D11" s="55" t="s">
        <v>18</v>
      </c>
      <c r="E11" s="38">
        <v>107.78220631290095</v>
      </c>
      <c r="F11" s="55" t="s">
        <v>18</v>
      </c>
      <c r="G11" s="38">
        <v>119.51547907604105</v>
      </c>
      <c r="H11" s="38">
        <v>99.331265157596704</v>
      </c>
      <c r="I11" s="38">
        <v>111.17051450645268</v>
      </c>
      <c r="J11" s="38">
        <v>111.94742864232229</v>
      </c>
      <c r="K11" s="38">
        <v>108.12469397016635</v>
      </c>
      <c r="L11" s="38">
        <v>108.99455217490299</v>
      </c>
      <c r="M11" s="38">
        <v>98.825717469492318</v>
      </c>
      <c r="N11" s="7"/>
      <c r="O11" s="144"/>
      <c r="P11" s="164"/>
      <c r="Q11" s="164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</row>
    <row r="12" spans="1:77" s="158" customFormat="1" ht="13" x14ac:dyDescent="0.25">
      <c r="A12" s="69" t="s">
        <v>378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14"/>
      <c r="O12" s="144"/>
      <c r="P12" s="164"/>
      <c r="Q12" s="16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</row>
    <row r="13" spans="1:77" s="21" customFormat="1" x14ac:dyDescent="0.25">
      <c r="A13" s="50" t="s">
        <v>379</v>
      </c>
      <c r="B13" s="38">
        <v>100</v>
      </c>
      <c r="C13" s="38">
        <v>98.938947927163483</v>
      </c>
      <c r="D13" s="38">
        <v>95.289764887799322</v>
      </c>
      <c r="E13" s="38">
        <v>101.21696930297949</v>
      </c>
      <c r="F13" s="38">
        <v>99.870871454187508</v>
      </c>
      <c r="G13" s="38">
        <v>108.14075208231377</v>
      </c>
      <c r="H13" s="38">
        <v>97.459937539454344</v>
      </c>
      <c r="I13" s="38">
        <v>105.44771476766395</v>
      </c>
      <c r="J13" s="38">
        <v>102.7158230881699</v>
      </c>
      <c r="K13" s="38">
        <v>104.95552885245809</v>
      </c>
      <c r="L13" s="38">
        <v>102.64463355829568</v>
      </c>
      <c r="M13" s="38">
        <v>88.417670382629808</v>
      </c>
      <c r="N13" s="7"/>
      <c r="O13" s="144"/>
      <c r="P13" s="164"/>
      <c r="Q13" s="164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s="21" customFormat="1" x14ac:dyDescent="0.25">
      <c r="A14" s="48" t="s">
        <v>380</v>
      </c>
      <c r="B14" s="38">
        <v>100</v>
      </c>
      <c r="C14" s="38">
        <v>102.76330244410238</v>
      </c>
      <c r="D14" s="38">
        <v>101.40739185503422</v>
      </c>
      <c r="E14" s="38">
        <v>102.90136662240532</v>
      </c>
      <c r="F14" s="38">
        <v>106.93898573341198</v>
      </c>
      <c r="G14" s="38">
        <v>98.792150482757535</v>
      </c>
      <c r="H14" s="38">
        <v>102.75331590822645</v>
      </c>
      <c r="I14" s="38">
        <v>96.793002978262024</v>
      </c>
      <c r="J14" s="38">
        <v>105.84444733691834</v>
      </c>
      <c r="K14" s="38">
        <v>100.30355471034869</v>
      </c>
      <c r="L14" s="38">
        <v>103.55043146381449</v>
      </c>
      <c r="M14" s="38">
        <v>104.30784351571701</v>
      </c>
      <c r="N14" s="7"/>
      <c r="O14" s="144"/>
      <c r="P14" s="164"/>
      <c r="Q14" s="164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</row>
    <row r="15" spans="1:77" s="159" customFormat="1" x14ac:dyDescent="0.25">
      <c r="A15" s="79" t="s">
        <v>381</v>
      </c>
      <c r="B15" s="44">
        <f>65+6.847</f>
        <v>71.846999999999994</v>
      </c>
      <c r="C15" s="44">
        <f>65+7.0719787281691</f>
        <v>72.0719787281691</v>
      </c>
      <c r="D15" s="44">
        <f>65+5.68280310376311</f>
        <v>70.682803103763106</v>
      </c>
      <c r="E15" s="44">
        <f>65+5.90014021821395</f>
        <v>70.900140218213949</v>
      </c>
      <c r="F15" s="44">
        <f>65+6.71446977042976</f>
        <v>71.714469770429758</v>
      </c>
      <c r="G15" s="44">
        <f>65+7.77558391001973</f>
        <v>72.775583910019733</v>
      </c>
      <c r="H15" s="44">
        <f>65+6.79087087103674</f>
        <v>71.790870871036745</v>
      </c>
      <c r="I15" s="44">
        <f>65+7.17007959991329</f>
        <v>72.170079599913294</v>
      </c>
      <c r="J15" s="44">
        <f>65+7.08470049848427</f>
        <v>72.084700498484267</v>
      </c>
      <c r="K15" s="44">
        <f>65+8.13450328736489</f>
        <v>73.134503287364893</v>
      </c>
      <c r="L15" s="44">
        <f>65+6.93286749094119</f>
        <v>71.932867490941192</v>
      </c>
      <c r="M15" s="44">
        <f>65+7.60151177328872</f>
        <v>72.601511773288721</v>
      </c>
      <c r="N15" s="7"/>
      <c r="O15" s="144"/>
      <c r="P15" s="164"/>
      <c r="Q15" s="164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</row>
    <row r="16" spans="1:77" s="21" customFormat="1" x14ac:dyDescent="0.25">
      <c r="A16" s="48" t="s">
        <v>382</v>
      </c>
      <c r="B16" s="38">
        <v>100</v>
      </c>
      <c r="C16" s="38">
        <v>98.828549541896962</v>
      </c>
      <c r="D16" s="38">
        <v>103.88651946378866</v>
      </c>
      <c r="E16" s="38">
        <v>95.045987830419293</v>
      </c>
      <c r="F16" s="38">
        <v>105.80356520152728</v>
      </c>
      <c r="G16" s="38">
        <v>104.20011563500138</v>
      </c>
      <c r="H16" s="38">
        <v>103.34555615347861</v>
      </c>
      <c r="I16" s="38">
        <v>104.49519249651929</v>
      </c>
      <c r="J16" s="38">
        <v>97.641649580340356</v>
      </c>
      <c r="K16" s="38">
        <v>97.328928482568102</v>
      </c>
      <c r="L16" s="38">
        <v>97.028820206960532</v>
      </c>
      <c r="M16" s="38">
        <v>101.39345503605824</v>
      </c>
      <c r="N16" s="7"/>
      <c r="O16" s="144"/>
      <c r="P16" s="164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</row>
    <row r="17" spans="1:64" s="159" customFormat="1" x14ac:dyDescent="0.25">
      <c r="A17" s="111" t="s">
        <v>383</v>
      </c>
      <c r="B17" s="44">
        <f>65+0.43939</f>
        <v>65.439390000000003</v>
      </c>
      <c r="C17" s="44">
        <f>65+0.4956454878165</f>
        <v>65.495645487816503</v>
      </c>
      <c r="D17" s="44">
        <f>65+-0.341647813965622</f>
        <v>64.658352186034378</v>
      </c>
      <c r="E17" s="44">
        <f>65+0.196877158496761</f>
        <v>65.196877158496761</v>
      </c>
      <c r="F17" s="44">
        <f>65+-0.733314480632316</f>
        <v>64.266685519367684</v>
      </c>
      <c r="G17" s="44">
        <f>65+0.316892150173274</f>
        <v>65.316892150173274</v>
      </c>
      <c r="H17" s="44">
        <f>65+-0.166065046697028</f>
        <v>64.833934953302972</v>
      </c>
      <c r="I17" s="44">
        <f>65+0.290403782155224</f>
        <v>65.290403782155224</v>
      </c>
      <c r="J17" s="44">
        <f>65+0.488286764177886</f>
        <v>65.488286764177886</v>
      </c>
      <c r="K17" s="44">
        <f>65+1.2231563212885</f>
        <v>66.223156321288499</v>
      </c>
      <c r="L17" s="44">
        <f>65+1.46284495352089</f>
        <v>66.462844953520886</v>
      </c>
      <c r="M17" s="44">
        <f>65+-0.238585947526374</f>
        <v>64.761414052473626</v>
      </c>
      <c r="N17" s="7"/>
      <c r="O17" s="144"/>
      <c r="P17" s="16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</row>
    <row r="18" spans="1:64" s="21" customFormat="1" x14ac:dyDescent="0.25">
      <c r="A18" s="48" t="s">
        <v>384</v>
      </c>
      <c r="B18" s="38">
        <v>100</v>
      </c>
      <c r="C18" s="38">
        <v>98.830981982522331</v>
      </c>
      <c r="D18" s="38">
        <v>105.29108519065976</v>
      </c>
      <c r="E18" s="38">
        <v>98.887423919426567</v>
      </c>
      <c r="F18" s="38">
        <v>104.26380896324977</v>
      </c>
      <c r="G18" s="38">
        <v>105.4712434611947</v>
      </c>
      <c r="H18" s="38">
        <v>96.514382933161684</v>
      </c>
      <c r="I18" s="38">
        <v>104.95705173107662</v>
      </c>
      <c r="J18" s="38">
        <v>99.192279706975469</v>
      </c>
      <c r="K18" s="38">
        <v>100.11311159216102</v>
      </c>
      <c r="L18" s="38">
        <v>96.392566482485876</v>
      </c>
      <c r="M18" s="38">
        <v>102.24742498537654</v>
      </c>
      <c r="N18" s="7"/>
      <c r="O18" s="144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</row>
    <row r="19" spans="1:64" s="19" customFormat="1" ht="13" x14ac:dyDescent="0.25">
      <c r="A19" s="54" t="s">
        <v>239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7"/>
      <c r="O19" s="144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</row>
    <row r="20" spans="1:64" s="20" customFormat="1" x14ac:dyDescent="0.25">
      <c r="A20" s="59" t="s">
        <v>385</v>
      </c>
      <c r="B20" s="38">
        <v>60.84</v>
      </c>
      <c r="C20" s="38">
        <v>58.343231854231689</v>
      </c>
      <c r="D20" s="38">
        <v>62.120896055530437</v>
      </c>
      <c r="E20" s="38">
        <v>58.922993336534951</v>
      </c>
      <c r="F20" s="38">
        <v>62.17922938886376</v>
      </c>
      <c r="G20" s="38">
        <v>58.793377176621917</v>
      </c>
      <c r="H20" s="38">
        <v>57.178876218055812</v>
      </c>
      <c r="I20" s="38">
        <v>58.69388793921452</v>
      </c>
      <c r="J20" s="38">
        <v>61.200658699879249</v>
      </c>
      <c r="K20" s="38">
        <v>59.547594979508837</v>
      </c>
      <c r="L20" s="38">
        <v>56.980629700171299</v>
      </c>
      <c r="M20" s="38">
        <v>59.086065036887561</v>
      </c>
      <c r="N20" s="7"/>
      <c r="O20" s="144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64" s="21" customFormat="1" x14ac:dyDescent="0.25">
      <c r="A21" s="111" t="s">
        <v>386</v>
      </c>
      <c r="B21" s="38">
        <v>52.427999999999997</v>
      </c>
      <c r="C21" s="38">
        <v>50.453804619046096</v>
      </c>
      <c r="D21" s="38">
        <v>58.267662578846888</v>
      </c>
      <c r="E21" s="38">
        <v>53.591796179628687</v>
      </c>
      <c r="F21" s="38">
        <v>51.072329245513558</v>
      </c>
      <c r="G21" s="38">
        <v>43.057740246391766</v>
      </c>
      <c r="H21" s="38">
        <v>48.460645920509471</v>
      </c>
      <c r="I21" s="38">
        <v>45.014541909136284</v>
      </c>
      <c r="J21" s="38">
        <v>47.421789082373607</v>
      </c>
      <c r="K21" s="38">
        <v>52.425999257049071</v>
      </c>
      <c r="L21" s="38">
        <v>51.661496179628678</v>
      </c>
      <c r="M21" s="38">
        <v>46.129085558414545</v>
      </c>
      <c r="N21" s="7"/>
      <c r="O21" s="144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64" s="167" customFormat="1" x14ac:dyDescent="0.25">
      <c r="A22" s="47" t="s">
        <v>240</v>
      </c>
      <c r="B22" s="44">
        <v>7.6019800000000002</v>
      </c>
      <c r="C22" s="44">
        <v>7.6681789173495414</v>
      </c>
      <c r="D22" s="60" t="s">
        <v>343</v>
      </c>
      <c r="E22" s="60">
        <v>7.7671627804815175</v>
      </c>
      <c r="F22" s="60" t="s">
        <v>343</v>
      </c>
      <c r="G22" s="44">
        <v>8.0686946949270499</v>
      </c>
      <c r="H22" s="44">
        <v>7.4143136207184215</v>
      </c>
      <c r="I22" s="60">
        <v>7.6405057849202187</v>
      </c>
      <c r="J22" s="60">
        <v>7.5571724515868857</v>
      </c>
      <c r="K22" s="44">
        <v>7.8383962673291512</v>
      </c>
      <c r="L22" s="44">
        <v>7.6051076444481946</v>
      </c>
      <c r="M22" s="44">
        <v>7.7159142737704194</v>
      </c>
      <c r="N22" s="166"/>
      <c r="O22" s="144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64" s="19" customFormat="1" ht="13" x14ac:dyDescent="0.25">
      <c r="A23" s="69" t="s">
        <v>241</v>
      </c>
      <c r="B23" s="61"/>
      <c r="C23" s="61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</row>
    <row r="24" spans="1:64" s="21" customFormat="1" x14ac:dyDescent="0.25">
      <c r="A24" s="59" t="s">
        <v>242</v>
      </c>
      <c r="B24" s="44">
        <v>7.3636363636363633</v>
      </c>
      <c r="C24" s="60">
        <v>7.2</v>
      </c>
      <c r="D24" s="60" t="s">
        <v>413</v>
      </c>
      <c r="E24" s="60">
        <v>8.1</v>
      </c>
      <c r="F24" s="60" t="s">
        <v>414</v>
      </c>
      <c r="G24" s="60">
        <v>8.1999999999999993</v>
      </c>
      <c r="H24" s="60">
        <v>4.0999999999999996</v>
      </c>
      <c r="I24" s="60">
        <v>8.4</v>
      </c>
      <c r="J24" s="60">
        <v>7.7</v>
      </c>
      <c r="K24" s="60">
        <v>7.6</v>
      </c>
      <c r="L24" s="60">
        <v>8.3000000000000007</v>
      </c>
      <c r="M24" s="60">
        <v>7.9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</row>
    <row r="25" spans="1:64" s="21" customFormat="1" x14ac:dyDescent="0.25">
      <c r="A25" s="59" t="s">
        <v>243</v>
      </c>
      <c r="B25" s="44">
        <v>5.6090909090909093</v>
      </c>
      <c r="C25" s="60">
        <v>6.9</v>
      </c>
      <c r="D25" s="60">
        <v>6</v>
      </c>
      <c r="E25" s="60">
        <v>7</v>
      </c>
      <c r="F25" s="60">
        <v>6.9</v>
      </c>
      <c r="G25" s="60">
        <v>5.2</v>
      </c>
      <c r="H25" s="60">
        <v>7</v>
      </c>
      <c r="I25" s="60">
        <v>5.7</v>
      </c>
      <c r="J25" s="60">
        <v>6.5</v>
      </c>
      <c r="K25" s="60">
        <v>6.4</v>
      </c>
      <c r="L25" s="60">
        <v>7.9</v>
      </c>
      <c r="M25" s="60">
        <v>6.2</v>
      </c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</row>
    <row r="26" spans="1:64" s="21" customFormat="1" x14ac:dyDescent="0.25">
      <c r="A26" s="59" t="s">
        <v>244</v>
      </c>
      <c r="B26" s="44">
        <v>7.2727272727272725</v>
      </c>
      <c r="C26" s="60">
        <v>6.58</v>
      </c>
      <c r="D26" s="60">
        <v>6.4</v>
      </c>
      <c r="E26" s="60">
        <v>6.2</v>
      </c>
      <c r="F26" s="60">
        <v>6.2</v>
      </c>
      <c r="G26" s="60">
        <v>7.8</v>
      </c>
      <c r="H26" s="60">
        <v>7.3</v>
      </c>
      <c r="I26" s="60">
        <v>7.7</v>
      </c>
      <c r="J26" s="60">
        <v>6.8</v>
      </c>
      <c r="K26" s="60">
        <v>6.9</v>
      </c>
      <c r="L26" s="60">
        <v>5.6</v>
      </c>
      <c r="M26" s="60">
        <v>6.9</v>
      </c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</row>
    <row r="27" spans="1:64" s="7" customFormat="1" x14ac:dyDescent="0.25">
      <c r="A27" s="59" t="s">
        <v>392</v>
      </c>
      <c r="B27" s="44">
        <v>6.536363636363637</v>
      </c>
      <c r="C27" s="60">
        <v>7.1</v>
      </c>
      <c r="D27" s="60" t="s">
        <v>18</v>
      </c>
      <c r="E27" s="60">
        <v>7.7</v>
      </c>
      <c r="F27" s="60" t="s">
        <v>18</v>
      </c>
      <c r="G27" s="60" t="s">
        <v>415</v>
      </c>
      <c r="H27" s="60">
        <v>7.8</v>
      </c>
      <c r="I27" s="60">
        <v>6.1</v>
      </c>
      <c r="J27" s="60">
        <v>7.5</v>
      </c>
      <c r="K27" s="60">
        <v>8</v>
      </c>
      <c r="L27" s="60">
        <v>7</v>
      </c>
      <c r="M27" s="60">
        <v>5</v>
      </c>
    </row>
    <row r="28" spans="1:64" s="21" customFormat="1" x14ac:dyDescent="0.25">
      <c r="A28" s="59" t="s">
        <v>395</v>
      </c>
      <c r="B28" s="44">
        <v>4.8443181818181822</v>
      </c>
      <c r="C28" s="44">
        <v>5.1375000000000011</v>
      </c>
      <c r="D28" s="60" t="s">
        <v>18</v>
      </c>
      <c r="E28" s="60">
        <v>4.4000000000000004</v>
      </c>
      <c r="F28" s="60" t="s">
        <v>18</v>
      </c>
      <c r="G28" s="60" t="s">
        <v>18</v>
      </c>
      <c r="H28" s="60">
        <v>5.2</v>
      </c>
      <c r="I28" s="60" t="s">
        <v>18</v>
      </c>
      <c r="J28" s="60" t="s">
        <v>18</v>
      </c>
      <c r="K28" s="60" t="s">
        <v>265</v>
      </c>
      <c r="L28" s="60">
        <v>4.05</v>
      </c>
      <c r="M28" s="60" t="s">
        <v>18</v>
      </c>
      <c r="N28" s="144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</row>
    <row r="29" spans="1:64" s="7" customFormat="1" ht="13" x14ac:dyDescent="0.25">
      <c r="A29" s="54" t="s">
        <v>245</v>
      </c>
      <c r="B29" s="44"/>
      <c r="C29" s="44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144"/>
    </row>
    <row r="30" spans="1:64" s="19" customFormat="1" x14ac:dyDescent="0.25">
      <c r="A30" s="59" t="s">
        <v>246</v>
      </c>
      <c r="B30" s="39" t="s">
        <v>18</v>
      </c>
      <c r="C30" s="39" t="s">
        <v>18</v>
      </c>
      <c r="D30" s="39">
        <v>2026</v>
      </c>
      <c r="E30" s="39">
        <v>2010</v>
      </c>
      <c r="F30" s="39">
        <v>2026</v>
      </c>
      <c r="G30" s="39">
        <v>2022</v>
      </c>
      <c r="H30" s="61">
        <v>2008</v>
      </c>
      <c r="I30" s="39">
        <v>2020</v>
      </c>
      <c r="J30" s="39">
        <v>2020</v>
      </c>
      <c r="K30" s="39">
        <v>2017</v>
      </c>
      <c r="L30" s="61">
        <v>2009</v>
      </c>
      <c r="M30" s="39">
        <v>2018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</row>
    <row r="31" spans="1:64" s="19" customFormat="1" x14ac:dyDescent="0.25">
      <c r="A31" s="47" t="s">
        <v>247</v>
      </c>
      <c r="B31" s="39" t="s">
        <v>18</v>
      </c>
      <c r="C31" s="39" t="s">
        <v>18</v>
      </c>
      <c r="D31" s="58" t="s">
        <v>159</v>
      </c>
      <c r="E31" s="58" t="s">
        <v>156</v>
      </c>
      <c r="F31" s="58" t="s">
        <v>159</v>
      </c>
      <c r="G31" s="58" t="s">
        <v>416</v>
      </c>
      <c r="H31" s="58" t="s">
        <v>159</v>
      </c>
      <c r="I31" s="58" t="s">
        <v>416</v>
      </c>
      <c r="J31" s="58" t="s">
        <v>159</v>
      </c>
      <c r="K31" s="58" t="s">
        <v>416</v>
      </c>
      <c r="L31" s="58" t="s">
        <v>249</v>
      </c>
      <c r="M31" s="58" t="s">
        <v>249</v>
      </c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</row>
    <row r="32" spans="1:64" s="19" customFormat="1" x14ac:dyDescent="0.25">
      <c r="A32" s="47" t="s">
        <v>248</v>
      </c>
      <c r="B32" s="39" t="s">
        <v>18</v>
      </c>
      <c r="C32" s="39" t="s">
        <v>18</v>
      </c>
      <c r="D32" s="58" t="s">
        <v>159</v>
      </c>
      <c r="E32" s="58" t="s">
        <v>156</v>
      </c>
      <c r="F32" s="58" t="s">
        <v>159</v>
      </c>
      <c r="G32" s="58" t="s">
        <v>417</v>
      </c>
      <c r="H32" s="58" t="s">
        <v>156</v>
      </c>
      <c r="I32" s="58" t="s">
        <v>267</v>
      </c>
      <c r="J32" s="58" t="s">
        <v>159</v>
      </c>
      <c r="K32" s="58" t="s">
        <v>289</v>
      </c>
      <c r="L32" s="58" t="s">
        <v>249</v>
      </c>
      <c r="M32" s="58" t="s">
        <v>249</v>
      </c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</row>
    <row r="33" spans="1:64" s="19" customFormat="1" ht="13" x14ac:dyDescent="0.25">
      <c r="A33" s="53" t="s">
        <v>250</v>
      </c>
      <c r="B33" s="39"/>
      <c r="C33" s="39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</row>
    <row r="34" spans="1:64" s="7" customFormat="1" x14ac:dyDescent="0.25">
      <c r="A34" s="47" t="s">
        <v>397</v>
      </c>
      <c r="B34" s="39" t="s">
        <v>18</v>
      </c>
      <c r="C34" s="39" t="s">
        <v>18</v>
      </c>
      <c r="D34" s="39" t="s">
        <v>18</v>
      </c>
      <c r="E34" s="61">
        <v>6</v>
      </c>
      <c r="F34" s="39" t="s">
        <v>18</v>
      </c>
      <c r="G34" s="61">
        <v>3</v>
      </c>
      <c r="H34" s="61">
        <v>9</v>
      </c>
      <c r="I34" s="61">
        <v>4</v>
      </c>
      <c r="J34" s="61">
        <v>4</v>
      </c>
      <c r="K34" s="61">
        <v>8</v>
      </c>
      <c r="L34" s="61">
        <v>7</v>
      </c>
      <c r="M34" s="61">
        <v>6</v>
      </c>
    </row>
    <row r="35" spans="1:64" s="21" customFormat="1" x14ac:dyDescent="0.25">
      <c r="A35" s="47" t="s">
        <v>251</v>
      </c>
      <c r="B35" s="39" t="s">
        <v>18</v>
      </c>
      <c r="C35" s="39" t="s">
        <v>18</v>
      </c>
      <c r="D35" s="61">
        <v>6</v>
      </c>
      <c r="E35" s="61">
        <v>11</v>
      </c>
      <c r="F35" s="61">
        <v>6</v>
      </c>
      <c r="G35" s="61">
        <v>13</v>
      </c>
      <c r="H35" s="61">
        <v>25</v>
      </c>
      <c r="I35" s="61">
        <v>12</v>
      </c>
      <c r="J35" s="61">
        <v>12</v>
      </c>
      <c r="K35" s="61">
        <v>13</v>
      </c>
      <c r="L35" s="61">
        <v>11</v>
      </c>
      <c r="M35" s="61">
        <v>12</v>
      </c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</row>
    <row r="36" spans="1:64" s="21" customFormat="1" x14ac:dyDescent="0.25">
      <c r="A36" s="47" t="s">
        <v>252</v>
      </c>
      <c r="B36" s="39" t="s">
        <v>18</v>
      </c>
      <c r="C36" s="39" t="s">
        <v>18</v>
      </c>
      <c r="D36" s="61">
        <v>6</v>
      </c>
      <c r="E36" s="61">
        <v>10</v>
      </c>
      <c r="F36" s="61">
        <v>6</v>
      </c>
      <c r="G36" s="61">
        <v>12</v>
      </c>
      <c r="H36" s="61">
        <v>22</v>
      </c>
      <c r="I36" s="61">
        <v>11</v>
      </c>
      <c r="J36" s="61">
        <v>11</v>
      </c>
      <c r="K36" s="61">
        <v>12</v>
      </c>
      <c r="L36" s="61">
        <v>10</v>
      </c>
      <c r="M36" s="61">
        <v>11</v>
      </c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</row>
    <row r="37" spans="1:64" ht="13" x14ac:dyDescent="0.3">
      <c r="A37" s="94" t="s">
        <v>398</v>
      </c>
      <c r="B37" s="114"/>
      <c r="C37" s="113"/>
      <c r="D37" s="190"/>
      <c r="E37" s="113"/>
      <c r="F37" s="190"/>
      <c r="G37" s="113"/>
      <c r="H37" s="113"/>
      <c r="I37" s="113"/>
      <c r="J37" s="113"/>
      <c r="K37" s="113"/>
      <c r="L37" s="114"/>
      <c r="M37" s="113"/>
    </row>
    <row r="38" spans="1:64" ht="13" x14ac:dyDescent="0.3">
      <c r="A38" s="94" t="s">
        <v>399</v>
      </c>
      <c r="B38" s="114"/>
      <c r="C38" s="113"/>
      <c r="D38" s="113"/>
      <c r="E38" s="113"/>
      <c r="F38" s="113"/>
      <c r="G38" s="113"/>
      <c r="H38" s="113"/>
      <c r="I38" s="113"/>
      <c r="J38" s="113"/>
      <c r="K38" s="113"/>
      <c r="L38" s="114"/>
      <c r="M38" s="113"/>
    </row>
    <row r="39" spans="1:64" x14ac:dyDescent="0.25">
      <c r="A39" s="94" t="s">
        <v>400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</row>
    <row r="40" spans="1:64" ht="13" x14ac:dyDescent="0.3">
      <c r="A40" s="115" t="s">
        <v>259</v>
      </c>
      <c r="B40" s="113"/>
      <c r="C40" s="114"/>
      <c r="D40" s="113"/>
      <c r="E40" s="113"/>
      <c r="F40" s="113"/>
      <c r="G40" s="113"/>
      <c r="H40" s="113"/>
      <c r="I40" s="113"/>
      <c r="J40" s="113"/>
      <c r="K40" s="113"/>
      <c r="L40" s="113"/>
      <c r="M40" s="113"/>
    </row>
    <row r="41" spans="1:64" x14ac:dyDescent="0.25">
      <c r="D41"/>
      <c r="E41"/>
      <c r="F41"/>
      <c r="G41"/>
      <c r="H41"/>
      <c r="I41"/>
      <c r="J41"/>
      <c r="K41"/>
      <c r="L41"/>
      <c r="M41"/>
    </row>
    <row r="42" spans="1:64" x14ac:dyDescent="0.25">
      <c r="D42" s="163"/>
      <c r="F42" s="163"/>
    </row>
    <row r="43" spans="1:64" x14ac:dyDescent="0.25">
      <c r="D43" s="163"/>
      <c r="F43" s="163"/>
    </row>
  </sheetData>
  <sheetProtection algorithmName="SHA-512" hashValue="5lD+BlCi9HvmgNDlgd6X//hh1GbI9Kj85G+FcMykaxbAYloD0Dwr8aI6ukeniN6rcBEa4x86YOu+njnEYLaSQA==" saltValue="WNEOvN6il92zPejz634EEA==" spinCount="100000" sheet="1" objects="1" scenarios="1"/>
  <phoneticPr fontId="8" type="noConversion"/>
  <printOptions horizontalCentered="1" verticalCentered="1"/>
  <pageMargins left="0.39370078740157483" right="0.39370078740157483" top="0.39370078740157483" bottom="0.39370078740157483" header="0.19685039370078741" footer="0.15748031496062992"/>
  <pageSetup paperSize="8" scale="96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ef45bd-a63d-4413-9664-b31151c191e3">
      <Terms xmlns="http://schemas.microsoft.com/office/infopath/2007/PartnerControls"/>
    </lcf76f155ced4ddcb4097134ff3c332f>
    <TaxCatchAll xmlns="6011a09b-8fe7-4316-9d07-2f98fa22e9f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4F76F4C845244DA3622F20AB72DC15" ma:contentTypeVersion="16" ma:contentTypeDescription="Create a new document." ma:contentTypeScope="" ma:versionID="a24159771f2e20a6a079c18ca22f7f80">
  <xsd:schema xmlns:xsd="http://www.w3.org/2001/XMLSchema" xmlns:xs="http://www.w3.org/2001/XMLSchema" xmlns:p="http://schemas.microsoft.com/office/2006/metadata/properties" xmlns:ns2="eaef45bd-a63d-4413-9664-b31151c191e3" xmlns:ns3="6011a09b-8fe7-4316-9d07-2f98fa22e9fa" targetNamespace="http://schemas.microsoft.com/office/2006/metadata/properties" ma:root="true" ma:fieldsID="3b96eec6674918ac13ac2da4d20c8840" ns2:_="" ns3:_="">
    <xsd:import namespace="eaef45bd-a63d-4413-9664-b31151c191e3"/>
    <xsd:import namespace="6011a09b-8fe7-4316-9d07-2f98fa22e9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f45bd-a63d-4413-9664-b31151c191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d849a31-a3aa-4382-b288-f06a614169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1a09b-8fe7-4316-9d07-2f98fa22e9f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7c79960-3a61-40cf-b8e5-402ad868ad49}" ma:internalName="TaxCatchAll" ma:showField="CatchAllData" ma:web="6011a09b-8fe7-4316-9d07-2f98fa22e9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2E13B5-819D-4A07-BAB3-BFB0242A4A9E}">
  <ds:schemaRefs>
    <ds:schemaRef ds:uri="http://schemas.microsoft.com/office/2006/metadata/properties"/>
    <ds:schemaRef ds:uri="http://schemas.microsoft.com/office/infopath/2007/PartnerControls"/>
    <ds:schemaRef ds:uri="eaef45bd-a63d-4413-9664-b31151c191e3"/>
    <ds:schemaRef ds:uri="6011a09b-8fe7-4316-9d07-2f98fa22e9fa"/>
  </ds:schemaRefs>
</ds:datastoreItem>
</file>

<file path=customXml/itemProps2.xml><?xml version="1.0" encoding="utf-8"?>
<ds:datastoreItem xmlns:ds="http://schemas.openxmlformats.org/officeDocument/2006/customXml" ds:itemID="{A328FA22-6363-40B7-B216-643EB3D99F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ef45bd-a63d-4413-9664-b31151c191e3"/>
    <ds:schemaRef ds:uri="6011a09b-8fe7-4316-9d07-2f98fa22e9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B75460-A86F-4D1D-B642-EBD04D70CD6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5d0ceb-c2af-4360-b5b9-28d8bcd5c08e}" enabled="1" method="Standard" siteId="{a12ce54b-3d3d-4346-95ef-ff13ca5dd47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13</vt:i4>
      </vt:variant>
    </vt:vector>
  </HeadingPairs>
  <TitlesOfParts>
    <vt:vector size="30" baseType="lpstr">
      <vt:lpstr>Glossary</vt:lpstr>
      <vt:lpstr>EPRGDIP</vt:lpstr>
      <vt:lpstr>EPRGTET</vt:lpstr>
      <vt:lpstr> IPRGDIP</vt:lpstr>
      <vt:lpstr>IPRGTET</vt:lpstr>
      <vt:lpstr> LPRGDIP</vt:lpstr>
      <vt:lpstr>LPRGTET</vt:lpstr>
      <vt:lpstr>IRGDIP</vt:lpstr>
      <vt:lpstr>IRGTET</vt:lpstr>
      <vt:lpstr>HRGDIP</vt:lpstr>
      <vt:lpstr>HRGTET</vt:lpstr>
      <vt:lpstr>TIM</vt:lpstr>
      <vt:lpstr>WC</vt:lpstr>
      <vt:lpstr>RCDIP</vt:lpstr>
      <vt:lpstr>RCTET</vt:lpstr>
      <vt:lpstr>LUC</vt:lpstr>
      <vt:lpstr>CFT</vt:lpstr>
      <vt:lpstr>' IPRGDIP'!Print_Area</vt:lpstr>
      <vt:lpstr>' LPRGDIP'!Print_Area</vt:lpstr>
      <vt:lpstr>EPRGDIP!Print_Area</vt:lpstr>
      <vt:lpstr>HRGDIP!Print_Area</vt:lpstr>
      <vt:lpstr>IPRGTET!Print_Area</vt:lpstr>
      <vt:lpstr>IRGDIP!Print_Area</vt:lpstr>
      <vt:lpstr>IRGTET!Print_Area</vt:lpstr>
      <vt:lpstr>LPRGTET!Print_Area</vt:lpstr>
      <vt:lpstr>LUC!Print_Area</vt:lpstr>
      <vt:lpstr>TIM!Print_Area</vt:lpstr>
      <vt:lpstr>WC!Print_Area</vt:lpstr>
      <vt:lpstr>IRGDIP!Print_Titles</vt:lpstr>
      <vt:lpstr>WC!Print_Titles</vt:lpstr>
    </vt:vector>
  </TitlesOfParts>
  <Manager/>
  <Company>NIAB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Recommended grass and clover list 2026</dc:title>
  <dc:subject/>
  <dc:creator>Kerr</dc:creator>
  <cp:keywords/>
  <dc:description/>
  <cp:lastModifiedBy>Emily Braggins</cp:lastModifiedBy>
  <cp:revision/>
  <dcterms:created xsi:type="dcterms:W3CDTF">2009-03-05T08:43:59Z</dcterms:created>
  <dcterms:modified xsi:type="dcterms:W3CDTF">2026-05-27T13:03:51Z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0x010100694F76F4C845244DA3622F20AB72DC15</vt:lpwstr>
  </property>
  <property fmtid="{D5CDD505-2E9C-101B-9397-08002B2CF9AE}" pid="3" name="Order">
    <vt:r8>309200</vt:r8>
  </property>
  <property fmtid="{D5CDD505-2E9C-101B-9397-08002B2CF9AE}" pid="4" name="MediaServiceImageTags">
    <vt:lpwstr/>
  </property>
</Properties>
</file>