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" windowWidth="10250" windowHeight="8120" tabRatio="774" firstSheet="5" activeTab="7"/>
  </bookViews>
  <sheets>
    <sheet name="Index" sheetId="1" state="hidden" r:id="rId1"/>
    <sheet name="Estimated production costs" sheetId="2" state="hidden" r:id="rId2"/>
    <sheet name="Financial assumptions" sheetId="3" state="hidden" r:id="rId3"/>
    <sheet name="Feed price forecasts" sheetId="4" state="hidden" r:id="rId4"/>
    <sheet name="Futures chart" sheetId="5" state="hidden" r:id="rId5"/>
    <sheet name="Quarterly Net Margins" sheetId="6" r:id="rId6"/>
    <sheet name="Quarterly NM Chart" sheetId="7" r:id="rId7"/>
    <sheet name="Quarterly TC with APP chart" sheetId="8" r:id="rId8"/>
  </sheets>
  <externalReferences>
    <externalReference r:id="rId11"/>
    <externalReference r:id="rId12"/>
    <externalReference r:id="rId13"/>
  </externalReferences>
  <definedNames>
    <definedName name="AgressoPigComparisons" localSheetId="5">#REF!</definedName>
    <definedName name="AgressoPigComparisons">#REF!</definedName>
    <definedName name="DefraFinanceComparisons">'[1]DefraFinance comparisons 07-08'!$A$1:$U$45</definedName>
    <definedName name="EnglandMonitor1">'[1]England Monitor'!$A$1:$W$57</definedName>
    <definedName name="EnglandMonitor2">'[1]England Monitor'!$A$61:$W$106</definedName>
    <definedName name="ForecastModels" localSheetId="5">#REF!</definedName>
    <definedName name="ForecastModels">#REF!</definedName>
    <definedName name="GBMonitor1">'[1]GB Monitor'!$A$1:$W$57</definedName>
    <definedName name="GBMonitor2">'[1]GB Monitor'!$A$61:$W$106</definedName>
    <definedName name="MValsBS" localSheetId="5">#REF!</definedName>
    <definedName name="MValsBS">#REF!</definedName>
    <definedName name="MValsPBP" localSheetId="5">#REF!</definedName>
    <definedName name="MValsPBP">#REF!</definedName>
    <definedName name="National2" localSheetId="5">#REF!</definedName>
    <definedName name="National2">#REF!</definedName>
    <definedName name="nuts_excel_table2003_ord" localSheetId="5">#REF!</definedName>
    <definedName name="nuts_excel_table2003_ord">#REF!</definedName>
    <definedName name="PIG_MEAT_BALANCE_SHEET" localSheetId="5">#REF!</definedName>
    <definedName name="PIG_MEAT_BALANCE_SHEET">#REF!</definedName>
    <definedName name="PigKill" localSheetId="5">#REF!</definedName>
    <definedName name="PigKill">#REF!</definedName>
    <definedName name="_xlnm.Print_Area" localSheetId="1">'Estimated production costs'!$A$135:$BH$155</definedName>
    <definedName name="ProductMonth" localSheetId="5">#REF!</definedName>
    <definedName name="ProductMonth">#REF!</definedName>
    <definedName name="RegionalMonthlyMonitor">'[1]Regional monthly monitor'!$A$1:$X$56</definedName>
    <definedName name="ScotlandMonitor1">'[1]Scotland Monitor'!$A$1:$W$57</definedName>
    <definedName name="ScotlandMonitor2">'[1]Scotland Monitor'!$A$61:$W$106</definedName>
    <definedName name="Table" localSheetId="5">#REF!</definedName>
    <definedName name="Table">#REF!</definedName>
    <definedName name="WalesMonitor1">'[1]Wales Monitor'!$A$1:$W$57</definedName>
    <definedName name="WalesMonitor2">'[1]Wales Monitor'!$A$61:$W$106</definedName>
    <definedName name="WeekNat2" localSheetId="5">#REF!</definedName>
    <definedName name="WeekNat2">#REF!</definedName>
    <definedName name="XCalcsPO" localSheetId="5">#REF!</definedName>
    <definedName name="XCalcsPO">#REF!</definedName>
    <definedName name="XValsBS" localSheetId="5">#REF!</definedName>
    <definedName name="XValsBS">#REF!</definedName>
    <definedName name="XValsCSP" localSheetId="5">#REF!</definedName>
    <definedName name="XValsCSP">#REF!</definedName>
    <definedName name="XValsPP" localSheetId="5">#REF!</definedName>
    <definedName name="XValsPP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K5" authorId="0">
      <text>
        <r>
          <rPr>
            <sz val="8"/>
            <rFont val="Tahoma"/>
            <family val="2"/>
          </rPr>
          <t>Formula failed to convert</t>
        </r>
      </text>
    </comment>
    <comment ref="CK6" authorId="0">
      <text>
        <r>
          <rPr>
            <sz val="8"/>
            <rFont val="Tahoma"/>
            <family val="2"/>
          </rPr>
          <t>Formula failed to convert</t>
        </r>
      </text>
    </comment>
    <comment ref="CK7" authorId="0">
      <text>
        <r>
          <rPr>
            <sz val="8"/>
            <rFont val="Tahoma"/>
            <family val="2"/>
          </rPr>
          <t>Formula failed to convert</t>
        </r>
      </text>
    </comment>
    <comment ref="CK8" authorId="0">
      <text>
        <r>
          <rPr>
            <sz val="8"/>
            <rFont val="Tahoma"/>
            <family val="2"/>
          </rPr>
          <t>Formula failed to convert</t>
        </r>
      </text>
    </comment>
    <comment ref="CK9" authorId="0">
      <text>
        <r>
          <rPr>
            <sz val="8"/>
            <rFont val="Tahoma"/>
            <family val="2"/>
          </rPr>
          <t>Formula failed to convert</t>
        </r>
      </text>
    </comment>
    <comment ref="CG13" authorId="0">
      <text>
        <r>
          <rPr>
            <sz val="8"/>
            <rFont val="Tahoma"/>
            <family val="2"/>
          </rPr>
          <t>Formula failed to convert</t>
        </r>
      </text>
    </comment>
    <comment ref="CG14" authorId="0">
      <text>
        <r>
          <rPr>
            <sz val="8"/>
            <rFont val="Tahoma"/>
            <family val="2"/>
          </rPr>
          <t>Formula failed to convert</t>
        </r>
      </text>
    </comment>
    <comment ref="CG15" authorId="0">
      <text>
        <r>
          <rPr>
            <sz val="8"/>
            <rFont val="Tahoma"/>
            <family val="2"/>
          </rPr>
          <t>Formula failed to convert</t>
        </r>
      </text>
    </comment>
    <comment ref="CG16" authorId="0">
      <text>
        <r>
          <rPr>
            <sz val="8"/>
            <rFont val="Tahoma"/>
            <family val="2"/>
          </rPr>
          <t>Formula failed to convert</t>
        </r>
      </text>
    </comment>
    <comment ref="CG18" authorId="0">
      <text>
        <r>
          <rPr>
            <sz val="8"/>
            <rFont val="Tahoma"/>
            <family val="2"/>
          </rPr>
          <t>Formula failed to convert</t>
        </r>
      </text>
    </comment>
    <comment ref="CG19" authorId="0">
      <text>
        <r>
          <rPr>
            <sz val="8"/>
            <rFont val="Tahoma"/>
            <family val="2"/>
          </rPr>
          <t>Formula failed to convert</t>
        </r>
      </text>
    </comment>
    <comment ref="CG20" authorId="0">
      <text>
        <r>
          <rPr>
            <sz val="8"/>
            <rFont val="Tahoma"/>
            <family val="2"/>
          </rPr>
          <t>Formula failed to convert</t>
        </r>
      </text>
    </comment>
    <comment ref="CG21" authorId="0">
      <text>
        <r>
          <rPr>
            <sz val="8"/>
            <rFont val="Tahoma"/>
            <family val="2"/>
          </rPr>
          <t>Formula failed to convert</t>
        </r>
      </text>
    </comment>
    <comment ref="CG23" authorId="0">
      <text>
        <r>
          <rPr>
            <sz val="8"/>
            <rFont val="Tahoma"/>
            <family val="2"/>
          </rPr>
          <t>Formula failed to convert</t>
        </r>
      </text>
    </comment>
    <comment ref="CG24" authorId="0">
      <text>
        <r>
          <rPr>
            <sz val="8"/>
            <rFont val="Tahoma"/>
            <family val="2"/>
          </rPr>
          <t>Formula failed to convert</t>
        </r>
      </text>
    </comment>
    <comment ref="CG25" authorId="0">
      <text>
        <r>
          <rPr>
            <sz val="8"/>
            <rFont val="Tahoma"/>
            <family val="2"/>
          </rPr>
          <t>Formula failed to convert</t>
        </r>
      </text>
    </comment>
    <comment ref="CG26" authorId="0">
      <text>
        <r>
          <rPr>
            <sz val="8"/>
            <rFont val="Tahoma"/>
            <family val="2"/>
          </rPr>
          <t>Formula failed to convert</t>
        </r>
      </text>
    </comment>
    <comment ref="CG28" authorId="0">
      <text>
        <r>
          <rPr>
            <sz val="8"/>
            <rFont val="Tahoma"/>
            <family val="2"/>
          </rPr>
          <t>Formula failed to convert</t>
        </r>
      </text>
    </comment>
    <comment ref="CG29" authorId="0">
      <text>
        <r>
          <rPr>
            <sz val="8"/>
            <rFont val="Tahoma"/>
            <family val="2"/>
          </rPr>
          <t>Formula failed to convert</t>
        </r>
      </text>
    </comment>
    <comment ref="CG30" authorId="0">
      <text>
        <r>
          <rPr>
            <sz val="8"/>
            <rFont val="Tahoma"/>
            <family val="2"/>
          </rPr>
          <t>Formula failed to convert</t>
        </r>
      </text>
    </comment>
    <comment ref="CG31" authorId="0">
      <text>
        <r>
          <rPr>
            <sz val="8"/>
            <rFont val="Tahoma"/>
            <family val="2"/>
          </rPr>
          <t>Formula failed to convert</t>
        </r>
      </text>
    </comment>
    <comment ref="CG32" authorId="0">
      <text>
        <r>
          <rPr>
            <sz val="8"/>
            <rFont val="Tahoma"/>
            <family val="2"/>
          </rPr>
          <t>Formula failed to convert</t>
        </r>
      </text>
    </comment>
    <comment ref="CG34" authorId="0">
      <text>
        <r>
          <rPr>
            <sz val="8"/>
            <rFont val="Tahoma"/>
            <family val="2"/>
          </rPr>
          <t>Formula failed to convert</t>
        </r>
      </text>
    </comment>
    <comment ref="CG35" authorId="0">
      <text>
        <r>
          <rPr>
            <sz val="8"/>
            <rFont val="Tahoma"/>
            <family val="2"/>
          </rPr>
          <t>Formula failed to convert</t>
        </r>
      </text>
    </comment>
    <comment ref="CG36" authorId="0">
      <text>
        <r>
          <rPr>
            <sz val="8"/>
            <rFont val="Tahoma"/>
            <family val="2"/>
          </rPr>
          <t>Formula failed to convert</t>
        </r>
      </text>
    </comment>
    <comment ref="CG37" authorId="0">
      <text>
        <r>
          <rPr>
            <sz val="8"/>
            <rFont val="Tahoma"/>
            <family val="2"/>
          </rPr>
          <t>Formula failed to convert</t>
        </r>
      </text>
    </comment>
    <comment ref="CG39" authorId="0">
      <text>
        <r>
          <rPr>
            <sz val="8"/>
            <rFont val="Tahoma"/>
            <family val="2"/>
          </rPr>
          <t>Formula failed to convert</t>
        </r>
      </text>
    </comment>
    <comment ref="CG40" authorId="0">
      <text>
        <r>
          <rPr>
            <sz val="8"/>
            <rFont val="Tahoma"/>
            <family val="2"/>
          </rPr>
          <t>Formula failed to convert</t>
        </r>
      </text>
    </comment>
    <comment ref="CG41" authorId="0">
      <text>
        <r>
          <rPr>
            <sz val="8"/>
            <rFont val="Tahoma"/>
            <family val="2"/>
          </rPr>
          <t>Formula failed to convert</t>
        </r>
      </text>
    </comment>
    <comment ref="CG42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comments6.xml><?xml version="1.0" encoding="utf-8"?>
<comments xmlns="http://schemas.openxmlformats.org/spreadsheetml/2006/main">
  <authors>
    <author>Carol Davis</author>
  </authors>
  <commentList>
    <comment ref="E7" authorId="0">
      <text>
        <r>
          <rPr>
            <b/>
            <sz val="9"/>
            <rFont val="Tahoma"/>
            <family val="2"/>
          </rPr>
          <t>Carol Davis:
DAPP pig price applied until Sept 2014; APP since Oct 2014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<sst xmlns="http://schemas.openxmlformats.org/spreadsheetml/2006/main" count="267" uniqueCount="240">
  <si>
    <t>Rearing</t>
  </si>
  <si>
    <t>Finishing</t>
  </si>
  <si>
    <t>Wheat</t>
  </si>
  <si>
    <t>Barley</t>
  </si>
  <si>
    <t>Total feed</t>
  </si>
  <si>
    <t>Sow</t>
  </si>
  <si>
    <t>Pigs Weaned Per Sow Per Year</t>
  </si>
  <si>
    <t>Pigs Sold Per Sow Per year</t>
  </si>
  <si>
    <t>Litters/sow/year</t>
  </si>
  <si>
    <t>Pigs born alive per litter</t>
  </si>
  <si>
    <t>Pre Weaning Mortality (%)</t>
  </si>
  <si>
    <t>Rearing Mortality (%)</t>
  </si>
  <si>
    <t>Finishing Mortality (%)</t>
  </si>
  <si>
    <t>Transfer weight from breeding to rearing unit (kg)</t>
  </si>
  <si>
    <t>Transfer weight from rearing to finishing unit (kg)</t>
  </si>
  <si>
    <t>Rearing Daily Liveweight Gain (g/day)</t>
  </si>
  <si>
    <t>Rearing Feed Conversion Ratio</t>
  </si>
  <si>
    <t>Ave number of days in rearing unit</t>
  </si>
  <si>
    <t>Empty rearing unit days per cycle</t>
  </si>
  <si>
    <t>Pigs per pig place per year (rearing)</t>
  </si>
  <si>
    <t>Finishing Feed Conversion Ratio</t>
  </si>
  <si>
    <t>Average live weight at slaughter</t>
  </si>
  <si>
    <t>Adjusted carcase weight - Cold</t>
  </si>
  <si>
    <t>Sow feed (kg) per sow per year</t>
  </si>
  <si>
    <t>Weaner/Rearer feed (kg) per pig</t>
  </si>
  <si>
    <t>Finishing pigs feed consumption (kg) per pig</t>
  </si>
  <si>
    <t>Average price of sow feed per tonne</t>
  </si>
  <si>
    <t>Average price of weaner/rearer feed per tonne</t>
  </si>
  <si>
    <t>Average price of finishing pigs feed per tonne</t>
  </si>
  <si>
    <t>Feed</t>
  </si>
  <si>
    <t>Labour</t>
  </si>
  <si>
    <t>Total costs</t>
  </si>
  <si>
    <t>Other variable costs</t>
  </si>
  <si>
    <t>Building, finance &amp; Misc</t>
  </si>
  <si>
    <t>For producers purchasing compound feeds</t>
  </si>
  <si>
    <t>Soya</t>
  </si>
  <si>
    <t>Other ingredients</t>
  </si>
  <si>
    <t>In sow rations</t>
  </si>
  <si>
    <t>In rearer rations</t>
  </si>
  <si>
    <t>In finishing rations</t>
  </si>
  <si>
    <t>Wheat/barley/soya %</t>
  </si>
  <si>
    <t>Feed wheat prices (LIFFE futures market)</t>
  </si>
  <si>
    <t>Feed barley prices  = feed wheat minus</t>
  </si>
  <si>
    <t>Soya prices (UK prices based on  CBOT futures)</t>
  </si>
  <si>
    <t>Production efficiency</t>
  </si>
  <si>
    <t>Sow mortality</t>
  </si>
  <si>
    <t>Sow replacement rate</t>
  </si>
  <si>
    <t>Age of weaning (days)</t>
  </si>
  <si>
    <t>Finishing Daily Liveweight Gain (g/day)</t>
  </si>
  <si>
    <t>Ave number of days in finishing unit</t>
  </si>
  <si>
    <t>Empty finishing unit days per cycle</t>
  </si>
  <si>
    <t>Pigs per pig place per year (finishing)</t>
  </si>
  <si>
    <t>Carcase weighed hot or cold?</t>
  </si>
  <si>
    <t>Average carcase weight  - Hot</t>
  </si>
  <si>
    <t>Adjustment from hot to cold</t>
  </si>
  <si>
    <t>Killing out percentage (cold weight)</t>
  </si>
  <si>
    <t>Killing out percentage (hot weight)</t>
  </si>
  <si>
    <t>Carcase meat production per sow per year (kg)</t>
  </si>
  <si>
    <t>Average lean meat percentage</t>
  </si>
  <si>
    <t>Lean meat production per sow per year (kg)</t>
  </si>
  <si>
    <t>Components in the production</t>
  </si>
  <si>
    <t>Sow ration Ave Energy Content (MJ ME/kg)</t>
  </si>
  <si>
    <t>Weaner/Rearer ration Ave Energy Content (MJ ME/kg)</t>
  </si>
  <si>
    <t>Finisher ration Ave Energy Content (MJ ME/kg)</t>
  </si>
  <si>
    <t>Time usage per sow per year in hours</t>
  </si>
  <si>
    <t>Time usage per finished pig per year in hours</t>
  </si>
  <si>
    <t>Price of components (€)</t>
  </si>
  <si>
    <t>Cost of labour per hour</t>
  </si>
  <si>
    <t>Electricity cost per kilowatt hour</t>
  </si>
  <si>
    <t>Energy cost per sow per year (breeding)</t>
  </si>
  <si>
    <t>Energy Cost per finished pig (rearing/finishing)</t>
  </si>
  <si>
    <t>Gilt/sow ave purchase price</t>
  </si>
  <si>
    <t>Cull sow ave sale price</t>
  </si>
  <si>
    <t xml:space="preserve">Net breeding cost per sow </t>
  </si>
  <si>
    <t>AI cost per sow/year</t>
  </si>
  <si>
    <t>Ave interest rate - working capital</t>
  </si>
  <si>
    <t>Ave interest rate -mortgage</t>
  </si>
  <si>
    <t xml:space="preserve">Payback period on equipment in years </t>
  </si>
  <si>
    <t>Payback period on buildings in years</t>
  </si>
  <si>
    <t>Building cost per sow</t>
  </si>
  <si>
    <t>Building cost per rearing pig place</t>
  </si>
  <si>
    <t>Building cost per finishing pig place</t>
  </si>
  <si>
    <t>Building &amp; equipment maintenance per sow</t>
  </si>
  <si>
    <t>Building &amp; equipment maintenance per rearing pig</t>
  </si>
  <si>
    <t>Building &amp; equipment maintenance per finisher pig</t>
  </si>
  <si>
    <t>Office and Professional Fees per finished pig</t>
  </si>
  <si>
    <t>Research levy per pig produced</t>
  </si>
  <si>
    <t>Marketing levy per pig produced</t>
  </si>
  <si>
    <t>Animal health insurance per pig produced</t>
  </si>
  <si>
    <t>Ave Meat inspection/carcase classification charges per pig</t>
  </si>
  <si>
    <t>Transport: rearing pig to fattening farm (per pig transported)</t>
  </si>
  <si>
    <t>Percentage of rearing pigs in open systems</t>
  </si>
  <si>
    <t>Transport: rearing pig to fattening farm (per finished pig)</t>
  </si>
  <si>
    <t>Transport: finishng pig to abattoir (per finished pig)</t>
  </si>
  <si>
    <t>Straw &amp; Bedding per finisher</t>
  </si>
  <si>
    <t>Water cost per finished pig</t>
  </si>
  <si>
    <t>Miscellaneous costs per sow (breeding)</t>
  </si>
  <si>
    <t>Miscellaneous costs per finished pig (rearing/finishing)</t>
  </si>
  <si>
    <t>Other relevant cost factors ($)</t>
  </si>
  <si>
    <t>Net Manure disposal costs per sow (breeding)</t>
  </si>
  <si>
    <t>Net Manure disposal costs per finished pig (rearing/finishing)</t>
  </si>
  <si>
    <t>Disposal of dead animal cost (Fallen stock) per finished pig</t>
  </si>
  <si>
    <t>DEPRECIATION CHARGE ESTIMATES</t>
  </si>
  <si>
    <t>Additional assumptions</t>
  </si>
  <si>
    <t>Split between building and equipment costs</t>
  </si>
  <si>
    <t>Buildings</t>
  </si>
  <si>
    <t>Equipment</t>
  </si>
  <si>
    <t>Throughputs</t>
  </si>
  <si>
    <t>Rearing pigs per pig place per year</t>
  </si>
  <si>
    <t>Estimated charges</t>
  </si>
  <si>
    <t>Building/equipment split</t>
  </si>
  <si>
    <t>Sows: building</t>
  </si>
  <si>
    <t>Sows: equipment</t>
  </si>
  <si>
    <t>Piglets: building</t>
  </si>
  <si>
    <t>Piglets: equipment</t>
  </si>
  <si>
    <t>Finishers: building</t>
  </si>
  <si>
    <t>Finishers: equipment</t>
  </si>
  <si>
    <t>Ave interest on capital</t>
  </si>
  <si>
    <t>Finance Cost per pig</t>
  </si>
  <si>
    <t>Total</t>
  </si>
  <si>
    <t>TOTAL COST SUMMARY</t>
  </si>
  <si>
    <t>Variable costs</t>
  </si>
  <si>
    <t>Breeding cost</t>
  </si>
  <si>
    <t>Vet and med</t>
  </si>
  <si>
    <t>Energy</t>
  </si>
  <si>
    <t>Maintenance</t>
  </si>
  <si>
    <t>Levies, insurance, inspection</t>
  </si>
  <si>
    <t>Miscellaneous</t>
  </si>
  <si>
    <t>Fixed costs</t>
  </si>
  <si>
    <t>Finance costs</t>
  </si>
  <si>
    <t>Interest on working capital</t>
  </si>
  <si>
    <t>H</t>
  </si>
  <si>
    <t>Electricity, gas and other fuels</t>
  </si>
  <si>
    <t>Fuels and lubricants</t>
  </si>
  <si>
    <t>Compound prices:</t>
  </si>
  <si>
    <t>Sow feed</t>
  </si>
  <si>
    <t>Rearer feed</t>
  </si>
  <si>
    <t>Finisher feed</t>
  </si>
  <si>
    <t>Interest Rates:</t>
  </si>
  <si>
    <t>Working capital</t>
  </si>
  <si>
    <t>Mortgage</t>
  </si>
  <si>
    <t>FUTURES PRICES</t>
  </si>
  <si>
    <t>COSTS OF PIG MEAT PRODUCTION IN GB</t>
  </si>
  <si>
    <t>£/head</t>
  </si>
  <si>
    <t>£/tonne</t>
  </si>
  <si>
    <t>Index</t>
  </si>
  <si>
    <t>INDICES OF AVERAGE CEREAL/SOYA PRICES</t>
  </si>
  <si>
    <t>Carcase weight</t>
  </si>
  <si>
    <t>Description</t>
  </si>
  <si>
    <t>Monthly COPP Estimates index</t>
  </si>
  <si>
    <t>Estimated production costs</t>
  </si>
  <si>
    <t>Chart 1 (feed costs)</t>
  </si>
  <si>
    <t>Chart 2 (total costs)</t>
  </si>
  <si>
    <t>TYPICAL PIG RATION INCORPORATION RATES IN 2008</t>
  </si>
  <si>
    <t>Chart 3 (net margins)</t>
  </si>
  <si>
    <t>see also excel/feed</t>
  </si>
  <si>
    <t>p/kg</t>
  </si>
  <si>
    <t>Hot</t>
  </si>
  <si>
    <t>Veterinarian and medicine per sow per year (breeding/rearing)</t>
  </si>
  <si>
    <t>Veterinarian and medicine per pig (finishing)(5)</t>
  </si>
  <si>
    <t>Feed costs as a percentage of total costs</t>
  </si>
  <si>
    <t>Aug-11</t>
  </si>
  <si>
    <t>Nov-11</t>
  </si>
  <si>
    <t>Jan-12</t>
  </si>
  <si>
    <t>Mar-12</t>
  </si>
  <si>
    <t>May-12</t>
  </si>
  <si>
    <t>Jul-12</t>
  </si>
  <si>
    <t>Nov-12</t>
  </si>
  <si>
    <t>Apr 11:Sep 11 ave</t>
  </si>
  <si>
    <t>Feed costs</t>
  </si>
  <si>
    <t>Estimated Feed costs</t>
  </si>
  <si>
    <t>Estimated other variable costs</t>
  </si>
  <si>
    <t>Estimated labour costs</t>
  </si>
  <si>
    <t>Estimated building, finance &amp; misc costs</t>
  </si>
  <si>
    <t>Estimated Total Production costs</t>
  </si>
  <si>
    <t>Estimated Net margin</t>
  </si>
  <si>
    <t>%</t>
  </si>
  <si>
    <t>Quarterly Estimated costs of pig production</t>
  </si>
  <si>
    <t>APP EU Spec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</si>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</sst>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"/>
    <numFmt numFmtId="166" formatCode="0.0%"/>
    <numFmt numFmtId="167" formatCode="_([$€]* #,##0.00_);_([$€]* \(#,##0.00\);_([$€]* &quot;-&quot;??_);_(@_)"/>
    <numFmt numFmtId="168" formatCode="#,##0.0"/>
    <numFmt numFmtId="169" formatCode="\+#,##0.0;\-#,##0.0"/>
    <numFmt numFmtId="170" formatCode="\+0.0%"/>
    <numFmt numFmtId="171" formatCode="0.00_)"/>
    <numFmt numFmtId="172" formatCode="0_)"/>
    <numFmt numFmtId="173" formatCode="mmm"/>
    <numFmt numFmtId="174" formatCode="\+#,##0;\-#,##0"/>
    <numFmt numFmtId="175" formatCode="[$-809]dd\ mmmm\ yyyy"/>
    <numFmt numFmtId="176" formatCode="0.000"/>
    <numFmt numFmtId="177" formatCode="0.0000"/>
    <numFmt numFmtId="178" formatCode="mmm\-yyyy"/>
    <numFmt numFmtId="179" formatCode="0.000000"/>
    <numFmt numFmtId="180" formatCode="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GillSans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24"/>
      <color indexed="39"/>
      <name val="Arial"/>
      <family val="2"/>
    </font>
    <font>
      <sz val="12"/>
      <color indexed="39"/>
      <name val="Arial"/>
      <family val="2"/>
    </font>
    <font>
      <b/>
      <sz val="14"/>
      <color indexed="8"/>
      <name val="Arial"/>
      <family val="2"/>
    </font>
    <font>
      <b/>
      <sz val="12"/>
      <color indexed="39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11.75"/>
      <color indexed="8"/>
      <name val="Arial"/>
      <family val="2"/>
    </font>
    <font>
      <sz val="11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2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2.9"/>
      <color indexed="8"/>
      <name val="Arial"/>
      <family val="2"/>
    </font>
    <font>
      <sz val="14"/>
      <color indexed="8"/>
      <name val="Arial"/>
      <family val="2"/>
    </font>
    <font>
      <b/>
      <sz val="10.75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5" fillId="0" borderId="0" applyNumberFormat="0">
      <alignment horizontal="left" indent="1"/>
      <protection/>
    </xf>
    <xf numFmtId="16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1" fontId="1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5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4" fontId="5" fillId="0" borderId="0">
      <alignment horizontal="left" indent="5"/>
      <protection/>
    </xf>
    <xf numFmtId="0" fontId="5" fillId="0" borderId="0">
      <alignment horizontal="left" indent="2"/>
      <protection/>
    </xf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5" fontId="2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63" applyFont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9" fontId="2" fillId="0" borderId="0" xfId="63" applyFont="1" applyBorder="1" applyAlignment="1">
      <alignment/>
    </xf>
    <xf numFmtId="0" fontId="6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0" fontId="2" fillId="0" borderId="0" xfId="0" applyNumberFormat="1" applyFont="1" applyFill="1" applyBorder="1" applyAlignment="1" quotePrefix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6" fontId="11" fillId="0" borderId="0" xfId="63" applyNumberFormat="1" applyFont="1" applyBorder="1" applyAlignment="1">
      <alignment/>
    </xf>
    <xf numFmtId="9" fontId="2" fillId="0" borderId="0" xfId="63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44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171" fontId="16" fillId="0" borderId="0" xfId="60" applyFont="1">
      <alignment/>
      <protection/>
    </xf>
    <xf numFmtId="171" fontId="14" fillId="0" borderId="0" xfId="60">
      <alignment/>
      <protection/>
    </xf>
    <xf numFmtId="171" fontId="17" fillId="0" borderId="0" xfId="60" applyFont="1">
      <alignment/>
      <protection/>
    </xf>
    <xf numFmtId="171" fontId="18" fillId="0" borderId="0" xfId="60" applyFont="1" applyAlignment="1" quotePrefix="1">
      <alignment horizontal="left"/>
      <protection/>
    </xf>
    <xf numFmtId="171" fontId="19" fillId="0" borderId="0" xfId="60" applyFont="1">
      <alignment/>
      <protection/>
    </xf>
    <xf numFmtId="171" fontId="18" fillId="0" borderId="0" xfId="60" applyFont="1" applyAlignment="1">
      <alignment horizontal="left"/>
      <protection/>
    </xf>
    <xf numFmtId="171" fontId="18" fillId="0" borderId="0" xfId="60" applyFont="1">
      <alignment/>
      <protection/>
    </xf>
    <xf numFmtId="171" fontId="18" fillId="0" borderId="0" xfId="60" applyFont="1" applyAlignment="1">
      <alignment horizontal="right"/>
      <protection/>
    </xf>
    <xf numFmtId="172" fontId="14" fillId="0" borderId="0" xfId="60" applyNumberFormat="1">
      <alignment/>
      <protection/>
    </xf>
    <xf numFmtId="172" fontId="19" fillId="0" borderId="0" xfId="60" applyNumberFormat="1" applyFont="1">
      <alignment/>
      <protection/>
    </xf>
    <xf numFmtId="172" fontId="16" fillId="0" borderId="0" xfId="60" applyNumberFormat="1" applyFont="1">
      <alignment/>
      <protection/>
    </xf>
    <xf numFmtId="171" fontId="15" fillId="0" borderId="0" xfId="60" applyFont="1" applyAlignment="1">
      <alignment horizontal="left"/>
      <protection/>
    </xf>
    <xf numFmtId="17" fontId="21" fillId="0" borderId="0" xfId="0" applyNumberFormat="1" applyFont="1" applyAlignment="1">
      <alignment horizontal="left"/>
    </xf>
    <xf numFmtId="2" fontId="2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64" fontId="2" fillId="35" borderId="0" xfId="0" applyNumberFormat="1" applyFont="1" applyFill="1" applyAlignment="1">
      <alignment/>
    </xf>
    <xf numFmtId="4" fontId="2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" fontId="21" fillId="0" borderId="0" xfId="0" applyNumberFormat="1" applyFont="1" applyAlignment="1">
      <alignment/>
    </xf>
    <xf numFmtId="9" fontId="6" fillId="0" borderId="0" xfId="63" applyFont="1" applyAlignment="1">
      <alignment/>
    </xf>
    <xf numFmtId="17" fontId="21" fillId="0" borderId="0" xfId="0" applyNumberFormat="1" applyFont="1" applyAlignment="1" quotePrefix="1">
      <alignment horizontal="left"/>
    </xf>
    <xf numFmtId="0" fontId="13" fillId="0" borderId="0" xfId="0" applyFont="1" applyAlignment="1">
      <alignment horizontal="right"/>
    </xf>
    <xf numFmtId="17" fontId="13" fillId="0" borderId="11" xfId="0" applyNumberFormat="1" applyFont="1" applyBorder="1" applyAlignment="1">
      <alignment/>
    </xf>
    <xf numFmtId="17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164" fontId="0" fillId="0" borderId="0" xfId="58" applyNumberFormat="1">
      <alignment/>
      <protection/>
    </xf>
    <xf numFmtId="0" fontId="13" fillId="0" borderId="0" xfId="58" applyFont="1" applyAlignment="1">
      <alignment horizontal="center" wrapText="1"/>
      <protection/>
    </xf>
    <xf numFmtId="0" fontId="13" fillId="0" borderId="0" xfId="58" applyFont="1" applyAlignment="1">
      <alignment wrapText="1"/>
      <protection/>
    </xf>
    <xf numFmtId="0" fontId="13" fillId="0" borderId="0" xfId="58" applyFont="1" applyAlignment="1">
      <alignment horizontal="center"/>
      <protection/>
    </xf>
    <xf numFmtId="164" fontId="13" fillId="0" borderId="0" xfId="58" applyNumberFormat="1" applyFont="1" applyAlignment="1">
      <alignment wrapText="1"/>
      <protection/>
    </xf>
    <xf numFmtId="0" fontId="13" fillId="0" borderId="0" xfId="58" applyFont="1">
      <alignment/>
      <protection/>
    </xf>
    <xf numFmtId="164" fontId="13" fillId="0" borderId="0" xfId="58" applyNumberFormat="1" applyFont="1">
      <alignment/>
      <protection/>
    </xf>
    <xf numFmtId="9" fontId="0" fillId="0" borderId="0" xfId="64" applyFont="1" applyAlignment="1">
      <alignment/>
    </xf>
    <xf numFmtId="0" fontId="0" fillId="0" borderId="0" xfId="58" applyAlignment="1">
      <alignment horizontal="left"/>
      <protection/>
    </xf>
    <xf numFmtId="1" fontId="0" fillId="0" borderId="0" xfId="58" applyNumberFormat="1">
      <alignment/>
      <protection/>
    </xf>
    <xf numFmtId="9" fontId="0" fillId="0" borderId="0" xfId="58" applyNumberFormat="1">
      <alignment/>
      <protection/>
    </xf>
    <xf numFmtId="2" fontId="0" fillId="0" borderId="0" xfId="0" applyNumberFormat="1" applyAlignment="1">
      <alignment/>
    </xf>
    <xf numFmtId="9" fontId="0" fillId="0" borderId="0" xfId="63" applyFont="1" applyAlignment="1">
      <alignment/>
    </xf>
    <xf numFmtId="0" fontId="0" fillId="0" borderId="0" xfId="58" applyFill="1">
      <alignment/>
      <protection/>
    </xf>
    <xf numFmtId="9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y Date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Levies39" xfId="60"/>
    <cellStyle name="Note" xfId="61"/>
    <cellStyle name="Output" xfId="62"/>
    <cellStyle name="Percent" xfId="63"/>
    <cellStyle name="Percent 2" xfId="64"/>
    <cellStyle name="Price" xfId="65"/>
    <cellStyle name="Procent 2" xfId="66"/>
    <cellStyle name="Refdb standard" xfId="67"/>
    <cellStyle name="Title" xfId="68"/>
    <cellStyle name="Total" xfId="69"/>
    <cellStyle name="Warning Text" xfId="70"/>
    <cellStyle name="Weekly Date" xfId="71"/>
    <cellStyle name="Years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AND FORECAST CATTLE SLAUGHTER</a:t>
            </a:r>
          </a:p>
        </c:rich>
      </c:tx>
      <c:layout>
        <c:manualLayout>
          <c:xMode val="factor"/>
          <c:yMode val="factor"/>
          <c:x val="0.106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5"/>
          <c:y val="0.26575"/>
          <c:w val="0.932"/>
          <c:h val="0.643"/>
        </c:manualLayout>
      </c:layout>
      <c:lineChart>
        <c:grouping val="standard"/>
        <c:varyColors val="0"/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 val="autoZero"/>
        <c:auto val="0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AND FORECAST PIG SLAUGHTER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21625"/>
          <c:w val="0.9365"/>
          <c:h val="0.69325"/>
        </c:manualLayout>
      </c:layout>
      <c:lineChart>
        <c:grouping val="standard"/>
        <c:varyColors val="0"/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 val="autoZero"/>
        <c:auto val="0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AND FORECAST SHEEP SLAUGHTER</a:t>
            </a:r>
          </a:p>
        </c:rich>
      </c:tx>
      <c:layout>
        <c:manualLayout>
          <c:xMode val="factor"/>
          <c:yMode val="factor"/>
          <c:x val="-0.00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2095"/>
          <c:w val="0.9485"/>
          <c:h val="0.69825"/>
        </c:manualLayout>
      </c:layout>
      <c:lineChart>
        <c:grouping val="standard"/>
        <c:varyColors val="0"/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 val="autoZero"/>
        <c:auto val="0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Future Pig Production Costs
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DAPP at week ended 17 Sept 2011</a:t>
            </a:r>
          </a:p>
        </c:rich>
      </c:tx>
      <c:layout>
        <c:manualLayout>
          <c:xMode val="factor"/>
          <c:yMode val="factor"/>
          <c:x val="-0.000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2215"/>
          <c:w val="0.92325"/>
          <c:h val="0.5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70"/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  <c:min val="10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Cost of Pig Production and Producer prices </a:t>
            </a:r>
          </a:p>
        </c:rich>
      </c:tx>
      <c:layout>
        <c:manualLayout>
          <c:xMode val="factor"/>
          <c:yMode val="factor"/>
          <c:x val="-0.010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484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COP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27560868"/>
        <c:axId val="46721221"/>
      </c:barChart>
      <c:lineChart>
        <c:grouping val="standard"/>
        <c:varyColors val="0"/>
        <c:ser>
          <c:idx val="0"/>
          <c:order val="1"/>
          <c:tx>
            <c:v>DAPP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7837806"/>
        <c:axId val="26322527"/>
      </c:lineChart>
      <c:catAx>
        <c:axId val="27560868"/>
        <c:scaling>
          <c:orientation val="minMax"/>
        </c:scaling>
        <c:axPos val="b"/>
        <c:delete val="0"/>
        <c:numFmt formatCode="mm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0"/>
        <c:lblOffset val="100"/>
        <c:tickLblSkip val="3"/>
        <c:noMultiLvlLbl val="0"/>
      </c:catAx>
      <c:valAx>
        <c:axId val="4672122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 dwt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868"/>
        <c:crossesAt val="1"/>
        <c:crossBetween val="between"/>
        <c:dispUnits/>
      </c:valAx>
      <c:catAx>
        <c:axId val="17837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6322527"/>
        <c:crosses val="autoZero"/>
        <c:auto val="0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delete val="1"/>
        <c:majorTickMark val="out"/>
        <c:minorTickMark val="none"/>
        <c:tickLblPos val="nextTo"/>
        <c:crossAx val="17837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0525"/>
          <c:w val="0.902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Future Pig Production Costs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DAPP at week ended 17 Sept 2011</a:t>
            </a:r>
          </a:p>
        </c:rich>
      </c:tx>
      <c:layout>
        <c:manualLayout>
          <c:xMode val="factor"/>
          <c:yMode val="factor"/>
          <c:x val="-0.005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45"/>
          <c:w val="0.9612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5E5E"/>
                  </a:gs>
                  <a:gs pos="50000">
                    <a:srgbClr val="33CCCC"/>
                  </a:gs>
                  <a:gs pos="100000">
                    <a:srgbClr val="185E5E"/>
                  </a:gs>
                </a:gsLst>
                <a:lin ang="0" scaled="1"/>
              </a:gradFill>
              <a:ln w="3175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'Futures chart'!$N$46:$N$53</c:f>
              <c:strCache/>
            </c:strRef>
          </c:cat>
          <c:val>
            <c:numRef>
              <c:f>'Futures chart'!$O$46:$O$53</c:f>
              <c:numCache/>
            </c:numRef>
          </c:val>
        </c:ser>
        <c:gapWidth val="70"/>
        <c:axId val="35576152"/>
        <c:axId val="51749913"/>
      </c:bar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  <c:min val="10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323850</xdr:colOff>
      <xdr:row>64</xdr:row>
      <xdr:rowOff>0</xdr:rowOff>
    </xdr:from>
    <xdr:to>
      <xdr:col>35</xdr:col>
      <xdr:colOff>276225</xdr:colOff>
      <xdr:row>85</xdr:row>
      <xdr:rowOff>0</xdr:rowOff>
    </xdr:to>
    <xdr:graphicFrame>
      <xdr:nvGraphicFramePr>
        <xdr:cNvPr id="1" name="CATTLE"/>
        <xdr:cNvGraphicFramePr/>
      </xdr:nvGraphicFramePr>
      <xdr:xfrm>
        <a:off x="21678900" y="12563475"/>
        <a:ext cx="4238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9525</xdr:colOff>
      <xdr:row>64</xdr:row>
      <xdr:rowOff>0</xdr:rowOff>
    </xdr:from>
    <xdr:to>
      <xdr:col>51</xdr:col>
      <xdr:colOff>333375</xdr:colOff>
      <xdr:row>85</xdr:row>
      <xdr:rowOff>9525</xdr:rowOff>
    </xdr:to>
    <xdr:graphicFrame>
      <xdr:nvGraphicFramePr>
        <xdr:cNvPr id="2" name="PIGS"/>
        <xdr:cNvGraphicFramePr/>
      </xdr:nvGraphicFramePr>
      <xdr:xfrm>
        <a:off x="32794575" y="12563475"/>
        <a:ext cx="46101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76200</xdr:colOff>
      <xdr:row>64</xdr:row>
      <xdr:rowOff>0</xdr:rowOff>
    </xdr:from>
    <xdr:to>
      <xdr:col>46</xdr:col>
      <xdr:colOff>9525</xdr:colOff>
      <xdr:row>85</xdr:row>
      <xdr:rowOff>0</xdr:rowOff>
    </xdr:to>
    <xdr:graphicFrame>
      <xdr:nvGraphicFramePr>
        <xdr:cNvPr id="3" name="SHEEP"/>
        <xdr:cNvGraphicFramePr/>
      </xdr:nvGraphicFramePr>
      <xdr:xfrm>
        <a:off x="27860625" y="12563475"/>
        <a:ext cx="564832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2</xdr:row>
      <xdr:rowOff>76200</xdr:rowOff>
    </xdr:from>
    <xdr:to>
      <xdr:col>13</xdr:col>
      <xdr:colOff>200025</xdr:colOff>
      <xdr:row>7</xdr:row>
      <xdr:rowOff>47625</xdr:rowOff>
    </xdr:to>
    <xdr:sp>
      <xdr:nvSpPr>
        <xdr:cNvPr id="4" name="AutoShape 99"/>
        <xdr:cNvSpPr>
          <a:spLocks/>
        </xdr:cNvSpPr>
      </xdr:nvSpPr>
      <xdr:spPr>
        <a:xfrm>
          <a:off x="6134100" y="657225"/>
          <a:ext cx="4400550" cy="971550"/>
        </a:xfrm>
        <a:prstGeom prst="wedgeRectCallout">
          <a:avLst>
            <a:gd name="adj1" fmla="val -69018"/>
            <a:gd name="adj2" fmla="val 14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Margins from July 2009  are based on  2008 technical and financial performance results and estimated costs of production.  Previous months' margins are based on the 2007 costs of production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848225" y="405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219075</xdr:colOff>
      <xdr:row>22</xdr:row>
      <xdr:rowOff>66675</xdr:rowOff>
    </xdr:from>
    <xdr:ext cx="1819275" cy="981075"/>
    <xdr:sp>
      <xdr:nvSpPr>
        <xdr:cNvPr id="1" name="Text Box 1"/>
        <xdr:cNvSpPr txBox="1">
          <a:spLocks noChangeArrowheads="1"/>
        </xdr:cNvSpPr>
      </xdr:nvSpPr>
      <xdr:spPr>
        <a:xfrm>
          <a:off x="9820275" y="4029075"/>
          <a:ext cx="1819275" cy="981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on feed prices: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January-June from  Pigplan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 based on Farm Brief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BOCM from August 2008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0.176</cdr:y>
    </cdr:from>
    <cdr:to>
      <cdr:x>0.14175</cdr:x>
      <cdr:y>0.2375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" y="1028700"/>
          <a:ext cx="876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p/kg/pig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0.19475</cdr:y>
    </cdr:from>
    <cdr:to>
      <cdr:x>0.1175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914400"/>
          <a:ext cx="64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p/kg/pig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209550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609600" y="161925"/>
        <a:ext cx="80867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13</xdr:row>
      <xdr:rowOff>19050</xdr:rowOff>
    </xdr:from>
    <xdr:to>
      <xdr:col>10</xdr:col>
      <xdr:colOff>161925</xdr:colOff>
      <xdr:row>13</xdr:row>
      <xdr:rowOff>28575</xdr:rowOff>
    </xdr:to>
    <xdr:sp>
      <xdr:nvSpPr>
        <xdr:cNvPr id="2" name="Line 11"/>
        <xdr:cNvSpPr>
          <a:spLocks/>
        </xdr:cNvSpPr>
      </xdr:nvSpPr>
      <xdr:spPr>
        <a:xfrm flipV="1">
          <a:off x="1276350" y="2114550"/>
          <a:ext cx="73723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28575</xdr:rowOff>
    </xdr:from>
    <xdr:to>
      <xdr:col>14</xdr:col>
      <xdr:colOff>161925</xdr:colOff>
      <xdr:row>37</xdr:row>
      <xdr:rowOff>19050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866775" y="5676900"/>
          <a:ext cx="10220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Estimates based on 2010 results indexed to current month and projected feed prices based on grain futures prices</a:t>
          </a:r>
        </a:p>
      </xdr:txBody>
    </xdr:sp>
    <xdr:clientData/>
  </xdr:twoCellAnchor>
  <xdr:twoCellAnchor>
    <xdr:from>
      <xdr:col>15</xdr:col>
      <xdr:colOff>352425</xdr:colOff>
      <xdr:row>2</xdr:row>
      <xdr:rowOff>9525</xdr:rowOff>
    </xdr:from>
    <xdr:to>
      <xdr:col>24</xdr:col>
      <xdr:colOff>352425</xdr:colOff>
      <xdr:row>25</xdr:row>
      <xdr:rowOff>104775</xdr:rowOff>
    </xdr:to>
    <xdr:graphicFrame>
      <xdr:nvGraphicFramePr>
        <xdr:cNvPr id="4" name="Chart 2"/>
        <xdr:cNvGraphicFramePr/>
      </xdr:nvGraphicFramePr>
      <xdr:xfrm>
        <a:off x="11887200" y="333375"/>
        <a:ext cx="54864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390525</xdr:colOff>
      <xdr:row>22</xdr:row>
      <xdr:rowOff>85725</xdr:rowOff>
    </xdr:from>
    <xdr:to>
      <xdr:col>18</xdr:col>
      <xdr:colOff>361950</xdr:colOff>
      <xdr:row>24</xdr:row>
      <xdr:rowOff>9525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3144500" y="363855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20</xdr:col>
      <xdr:colOff>9525</xdr:colOff>
      <xdr:row>23</xdr:row>
      <xdr:rowOff>0</xdr:rowOff>
    </xdr:from>
    <xdr:to>
      <xdr:col>20</xdr:col>
      <xdr:colOff>381000</xdr:colOff>
      <xdr:row>24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592300" y="37147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21</xdr:col>
      <xdr:colOff>381000</xdr:colOff>
      <xdr:row>22</xdr:row>
      <xdr:rowOff>85725</xdr:rowOff>
    </xdr:from>
    <xdr:to>
      <xdr:col>22</xdr:col>
      <xdr:colOff>361950</xdr:colOff>
      <xdr:row>24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573375" y="3638550"/>
          <a:ext cx="590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24</xdr:col>
      <xdr:colOff>314325</xdr:colOff>
      <xdr:row>24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6678275" y="37147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2011*</a:t>
          </a:r>
        </a:p>
      </xdr:txBody>
    </xdr:sp>
    <xdr:clientData/>
  </xdr:twoCellAnchor>
  <xdr:oneCellAnchor>
    <xdr:from>
      <xdr:col>16</xdr:col>
      <xdr:colOff>76200</xdr:colOff>
      <xdr:row>24</xdr:row>
      <xdr:rowOff>76200</xdr:rowOff>
    </xdr:from>
    <xdr:ext cx="1695450" cy="190500"/>
    <xdr:sp>
      <xdr:nvSpPr>
        <xdr:cNvPr id="9" name="Text Box 9"/>
        <xdr:cNvSpPr txBox="1">
          <a:spLocks noChangeArrowheads="1"/>
        </xdr:cNvSpPr>
      </xdr:nvSpPr>
      <xdr:spPr>
        <a:xfrm>
          <a:off x="12220575" y="3952875"/>
          <a:ext cx="1695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*based on grain futures prices</a:t>
          </a:r>
        </a:p>
      </xdr:txBody>
    </xdr:sp>
    <xdr:clientData/>
  </xdr:oneCellAnchor>
  <xdr:twoCellAnchor>
    <xdr:from>
      <xdr:col>7</xdr:col>
      <xdr:colOff>304800</xdr:colOff>
      <xdr:row>12</xdr:row>
      <xdr:rowOff>38100</xdr:rowOff>
    </xdr:from>
    <xdr:to>
      <xdr:col>9</xdr:col>
      <xdr:colOff>152400</xdr:colOff>
      <xdr:row>14</xdr:row>
      <xdr:rowOff>47625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962775" y="1971675"/>
          <a:ext cx="1066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DAPP 149p/kg euro spec</a:t>
          </a:r>
        </a:p>
      </xdr:txBody>
    </xdr:sp>
    <xdr:clientData/>
  </xdr:twoCellAnchor>
  <xdr:twoCellAnchor>
    <xdr:from>
      <xdr:col>5</xdr:col>
      <xdr:colOff>19050</xdr:colOff>
      <xdr:row>43</xdr:row>
      <xdr:rowOff>28575</xdr:rowOff>
    </xdr:from>
    <xdr:to>
      <xdr:col>12</xdr:col>
      <xdr:colOff>0</xdr:colOff>
      <xdr:row>72</xdr:row>
      <xdr:rowOff>66675</xdr:rowOff>
    </xdr:to>
    <xdr:grpSp>
      <xdr:nvGrpSpPr>
        <xdr:cNvPr id="11" name="Group 24"/>
        <xdr:cNvGrpSpPr>
          <a:grpSpLocks/>
        </xdr:cNvGrpSpPr>
      </xdr:nvGrpSpPr>
      <xdr:grpSpPr>
        <a:xfrm>
          <a:off x="3067050" y="7067550"/>
          <a:ext cx="6638925" cy="4733925"/>
          <a:chOff x="71" y="900"/>
          <a:chExt cx="887" cy="646"/>
        </a:xfrm>
        <a:solidFill>
          <a:srgbClr val="FFFFFF"/>
        </a:solidFill>
      </xdr:grpSpPr>
      <xdr:graphicFrame>
        <xdr:nvGraphicFramePr>
          <xdr:cNvPr id="12" name="Chart 18"/>
          <xdr:cNvGraphicFramePr/>
        </xdr:nvGraphicFramePr>
        <xdr:xfrm>
          <a:off x="71" y="900"/>
          <a:ext cx="887" cy="64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3" name="Line 19"/>
          <xdr:cNvSpPr>
            <a:spLocks/>
          </xdr:cNvSpPr>
        </xdr:nvSpPr>
        <xdr:spPr>
          <a:xfrm flipV="1">
            <a:off x="140" y="1118"/>
            <a:ext cx="813" cy="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22"/>
          <xdr:cNvSpPr txBox="1">
            <a:spLocks noChangeArrowheads="1"/>
          </xdr:cNvSpPr>
        </xdr:nvSpPr>
        <xdr:spPr>
          <a:xfrm>
            <a:off x="244" y="1099"/>
            <a:ext cx="93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DAPP 149p/kg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spec</a:t>
            </a:r>
          </a:p>
        </xdr:txBody>
      </xdr:sp>
      <xdr:sp>
        <xdr:nvSpPr>
          <xdr:cNvPr id="15" name="Text Box 20"/>
          <xdr:cNvSpPr txBox="1">
            <a:spLocks noChangeArrowheads="1"/>
          </xdr:cNvSpPr>
        </xdr:nvSpPr>
        <xdr:spPr>
          <a:xfrm>
            <a:off x="91" y="1477"/>
            <a:ext cx="854" cy="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Estimates based on 2010 results indexed to current month and projected feed prices based on grain futures prices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266700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400050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15</xdr:col>
      <xdr:colOff>47625</xdr:colOff>
      <xdr:row>29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09625"/>
          <a:ext cx="79724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14</xdr:col>
      <xdr:colOff>228600</xdr:colOff>
      <xdr:row>27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1534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FOWLER\My%20Documents\excel\levy%20forecasts\2007-08\Levies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IS\Local%20Settings\Temporary%20Internet%20Files\Content.Outlook\F1W1RY68\Netmargi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P%20estimations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gional forecasts"/>
      <sheetName val="DefraFinance comparisons 07-08"/>
      <sheetName val="GB Monitor"/>
      <sheetName val="England Monitor"/>
      <sheetName val="Wales Monitor"/>
      <sheetName val="Scotland Monitor"/>
      <sheetName val="Regional monthly monitor"/>
      <sheetName val="Module1"/>
      <sheetName val="Module3"/>
    </sheetNames>
    <sheetDataSet>
      <sheetData sheetId="2">
        <row r="1">
          <cell r="A1" t="str">
            <v>DEFRA: FINANCE COMPARISONS</v>
          </cell>
        </row>
        <row r="3">
          <cell r="C3" t="str">
            <v>England</v>
          </cell>
          <cell r="H3" t="str">
            <v>Wales</v>
          </cell>
          <cell r="M3" t="str">
            <v>Scotland</v>
          </cell>
          <cell r="R3" t="str">
            <v>Great Britain</v>
          </cell>
        </row>
        <row r="4">
          <cell r="C4" t="str">
            <v>Defra</v>
          </cell>
          <cell r="D4" t="str">
            <v>Finance</v>
          </cell>
          <cell r="E4" t="str">
            <v>Deviation</v>
          </cell>
          <cell r="F4" t="str">
            <v>Cum Dev</v>
          </cell>
          <cell r="H4" t="str">
            <v>Defra</v>
          </cell>
          <cell r="I4" t="str">
            <v>Finance</v>
          </cell>
          <cell r="J4" t="str">
            <v>Deviation</v>
          </cell>
          <cell r="K4" t="str">
            <v>Cum Dev</v>
          </cell>
          <cell r="M4" t="str">
            <v>Defra</v>
          </cell>
          <cell r="N4" t="str">
            <v>Finance</v>
          </cell>
          <cell r="O4" t="str">
            <v>Deviation</v>
          </cell>
          <cell r="P4" t="str">
            <v>Cum Dev</v>
          </cell>
          <cell r="R4" t="str">
            <v>Defra</v>
          </cell>
          <cell r="S4" t="str">
            <v>Finance</v>
          </cell>
          <cell r="T4" t="str">
            <v>Deviation</v>
          </cell>
          <cell r="U4" t="str">
            <v>Cum Dev</v>
          </cell>
        </row>
        <row r="5">
          <cell r="C5" t="str">
            <v>000 head</v>
          </cell>
          <cell r="H5" t="str">
            <v>000 head</v>
          </cell>
          <cell r="M5" t="str">
            <v>000 head</v>
          </cell>
          <cell r="R5" t="str">
            <v>000 head</v>
          </cell>
        </row>
        <row r="7">
          <cell r="A7" t="str">
            <v>Cattle</v>
          </cell>
        </row>
        <row r="8">
          <cell r="A8">
            <v>39173</v>
          </cell>
          <cell r="C8">
            <v>141.25</v>
          </cell>
          <cell r="D8">
            <v>136.72776279069768</v>
          </cell>
          <cell r="E8">
            <v>-4.522237209302318</v>
          </cell>
          <cell r="F8">
            <v>-4.522237209302318</v>
          </cell>
          <cell r="H8">
            <v>12.761</v>
          </cell>
          <cell r="I8">
            <v>12.478851162790697</v>
          </cell>
          <cell r="J8">
            <v>-0.2821488372093022</v>
          </cell>
          <cell r="K8">
            <v>-0.2821488372093022</v>
          </cell>
          <cell r="M8">
            <v>47.065</v>
          </cell>
          <cell r="N8">
            <v>50.862</v>
          </cell>
          <cell r="O8">
            <v>3.797000000000004</v>
          </cell>
          <cell r="P8">
            <v>3.797000000000004</v>
          </cell>
          <cell r="R8">
            <v>201.076</v>
          </cell>
          <cell r="S8">
            <v>200.06861395348838</v>
          </cell>
          <cell r="T8">
            <v>-1.0073860465116127</v>
          </cell>
          <cell r="U8">
            <v>-1.0073860465116127</v>
          </cell>
        </row>
        <row r="9">
          <cell r="A9">
            <v>39203</v>
          </cell>
          <cell r="C9">
            <v>112.52199999999999</v>
          </cell>
          <cell r="D9">
            <v>107.95550697674418</v>
          </cell>
          <cell r="E9">
            <v>-4.566493023255816</v>
          </cell>
          <cell r="F9">
            <v>-9.088730232558135</v>
          </cell>
          <cell r="H9">
            <v>10.075</v>
          </cell>
          <cell r="I9">
            <v>9.62020465116279</v>
          </cell>
          <cell r="J9">
            <v>-0.45479534883720873</v>
          </cell>
          <cell r="K9">
            <v>-0.7369441860465109</v>
          </cell>
          <cell r="M9">
            <v>37.86</v>
          </cell>
          <cell r="N9">
            <v>40.709586046511625</v>
          </cell>
          <cell r="O9">
            <v>2.849586046511625</v>
          </cell>
          <cell r="P9">
            <v>6.646586046511629</v>
          </cell>
          <cell r="R9">
            <v>160.457</v>
          </cell>
          <cell r="S9">
            <v>158.2852976744186</v>
          </cell>
          <cell r="T9">
            <v>-2.171702325581407</v>
          </cell>
          <cell r="U9">
            <v>-3.1790883720930196</v>
          </cell>
        </row>
        <row r="10">
          <cell r="A10">
            <v>39234</v>
          </cell>
          <cell r="C10">
            <v>121.43599999999999</v>
          </cell>
          <cell r="D10">
            <v>116.09410697674417</v>
          </cell>
          <cell r="E10">
            <v>-5.341893023255821</v>
          </cell>
          <cell r="F10">
            <v>-14.430623255813956</v>
          </cell>
          <cell r="H10">
            <v>10.693</v>
          </cell>
          <cell r="I10">
            <v>9.948837209302326</v>
          </cell>
          <cell r="J10">
            <v>-0.7441627906976738</v>
          </cell>
          <cell r="K10">
            <v>-1.4811069767441847</v>
          </cell>
          <cell r="M10">
            <v>39.239</v>
          </cell>
          <cell r="N10">
            <v>42.024</v>
          </cell>
          <cell r="O10">
            <v>2.7850000000000037</v>
          </cell>
          <cell r="P10">
            <v>9.431586046511633</v>
          </cell>
          <cell r="R10">
            <v>171.368</v>
          </cell>
          <cell r="S10">
            <v>168.0669441860465</v>
          </cell>
          <cell r="T10">
            <v>-3.3010558139534965</v>
          </cell>
          <cell r="U10">
            <v>-6.480144186046516</v>
          </cell>
        </row>
        <row r="11">
          <cell r="A11">
            <v>39264</v>
          </cell>
          <cell r="C11">
            <v>148.63800000000003</v>
          </cell>
          <cell r="D11">
            <v>141.71427441860465</v>
          </cell>
          <cell r="E11">
            <v>-6.923725581395388</v>
          </cell>
          <cell r="F11">
            <v>-21.354348837209344</v>
          </cell>
          <cell r="H11">
            <v>12.658</v>
          </cell>
          <cell r="I11">
            <v>12.504148837209303</v>
          </cell>
          <cell r="J11">
            <v>-0.153851162790696</v>
          </cell>
          <cell r="K11">
            <v>-1.6349581395348807</v>
          </cell>
          <cell r="M11">
            <v>45.508</v>
          </cell>
          <cell r="N11">
            <v>50.14213023255814</v>
          </cell>
          <cell r="O11">
            <v>4.634130232558135</v>
          </cell>
          <cell r="P11">
            <v>14.065716279069768</v>
          </cell>
          <cell r="R11">
            <v>206.80400000000003</v>
          </cell>
          <cell r="S11">
            <v>204.3605534883721</v>
          </cell>
          <cell r="T11">
            <v>-2.44344651162794</v>
          </cell>
          <cell r="U11">
            <v>-8.923590697674456</v>
          </cell>
        </row>
        <row r="12">
          <cell r="A12">
            <v>39295</v>
          </cell>
          <cell r="C12">
            <v>93.10300000000001</v>
          </cell>
          <cell r="D12">
            <v>86.90763720930232</v>
          </cell>
          <cell r="E12">
            <v>-6.195362790697686</v>
          </cell>
          <cell r="F12">
            <v>-27.54971162790703</v>
          </cell>
          <cell r="H12">
            <v>9.411</v>
          </cell>
          <cell r="I12">
            <v>9.099404651162793</v>
          </cell>
          <cell r="J12">
            <v>-0.31159534883720674</v>
          </cell>
          <cell r="K12">
            <v>-1.9465534883720874</v>
          </cell>
          <cell r="M12">
            <v>34.172</v>
          </cell>
          <cell r="N12">
            <v>36.05113023255814</v>
          </cell>
          <cell r="O12">
            <v>1.8791302325581398</v>
          </cell>
          <cell r="P12">
            <v>15.944846511627908</v>
          </cell>
          <cell r="R12">
            <v>136.686</v>
          </cell>
          <cell r="S12">
            <v>132.05817209302324</v>
          </cell>
          <cell r="T12">
            <v>-4.627827906976762</v>
          </cell>
          <cell r="U12">
            <v>-13.551418604651218</v>
          </cell>
        </row>
        <row r="13">
          <cell r="A13">
            <v>39326</v>
          </cell>
          <cell r="C13">
            <v>112.244</v>
          </cell>
          <cell r="D13">
            <v>106.61400930232558</v>
          </cell>
          <cell r="E13">
            <v>-5.629990697674415</v>
          </cell>
          <cell r="F13">
            <v>-33.179702325581445</v>
          </cell>
          <cell r="H13">
            <v>10.113</v>
          </cell>
          <cell r="I13">
            <v>8.09439534883721</v>
          </cell>
          <cell r="J13">
            <v>-2.0186046511627893</v>
          </cell>
          <cell r="K13">
            <v>-3.9651581395348767</v>
          </cell>
          <cell r="M13">
            <v>37.81</v>
          </cell>
          <cell r="N13">
            <v>41.45906511627906</v>
          </cell>
          <cell r="O13">
            <v>3.6490651162790613</v>
          </cell>
          <cell r="P13">
            <v>19.59391162790697</v>
          </cell>
          <cell r="R13">
            <v>160.167</v>
          </cell>
          <cell r="S13">
            <v>156.16746976744184</v>
          </cell>
          <cell r="T13">
            <v>-3.9995302325581576</v>
          </cell>
          <cell r="U13">
            <v>-17.550948837209376</v>
          </cell>
        </row>
        <row r="14">
          <cell r="A14">
            <v>39356</v>
          </cell>
          <cell r="C14">
            <v>148.31499999999997</v>
          </cell>
          <cell r="D14">
            <v>146.54613023255814</v>
          </cell>
          <cell r="E14">
            <v>-1.768869767441828</v>
          </cell>
          <cell r="F14">
            <v>-34.94857209302327</v>
          </cell>
          <cell r="H14">
            <v>13.411</v>
          </cell>
          <cell r="I14">
            <v>12.834167441860464</v>
          </cell>
          <cell r="J14">
            <v>-0.5768325581395359</v>
          </cell>
          <cell r="K14">
            <v>-4.541990697674413</v>
          </cell>
          <cell r="M14">
            <v>47.305</v>
          </cell>
          <cell r="N14">
            <v>52.12113023255814</v>
          </cell>
          <cell r="O14">
            <v>4.816130232558137</v>
          </cell>
          <cell r="P14">
            <v>24.410041860465107</v>
          </cell>
          <cell r="R14">
            <v>209.03099999999998</v>
          </cell>
          <cell r="S14">
            <v>211.50142790697674</v>
          </cell>
          <cell r="T14">
            <v>2.4704279069767665</v>
          </cell>
          <cell r="U14">
            <v>-15.080520930232609</v>
          </cell>
        </row>
        <row r="15">
          <cell r="A15">
            <v>39387</v>
          </cell>
          <cell r="C15">
            <v>133.38500000000002</v>
          </cell>
          <cell r="D15">
            <v>128.31352093023256</v>
          </cell>
          <cell r="E15">
            <v>-5.071479069767463</v>
          </cell>
          <cell r="F15">
            <v>-40.020051162790736</v>
          </cell>
          <cell r="H15">
            <v>11.723</v>
          </cell>
          <cell r="I15">
            <v>10.71066046511628</v>
          </cell>
          <cell r="J15">
            <v>-1.0123395348837203</v>
          </cell>
          <cell r="K15">
            <v>-5.554330232558133</v>
          </cell>
          <cell r="M15">
            <v>39.867</v>
          </cell>
          <cell r="N15">
            <v>44.514195348837205</v>
          </cell>
          <cell r="O15">
            <v>4.647195348837208</v>
          </cell>
          <cell r="P15">
            <v>29.057237209302315</v>
          </cell>
          <cell r="R15">
            <v>184.97500000000002</v>
          </cell>
          <cell r="S15">
            <v>183.53837674418605</v>
          </cell>
          <cell r="T15">
            <v>-1.43662325581397</v>
          </cell>
          <cell r="U15">
            <v>-16.51714418604658</v>
          </cell>
        </row>
        <row r="16">
          <cell r="A16">
            <v>39417</v>
          </cell>
          <cell r="C16">
            <v>116.77600000000001</v>
          </cell>
          <cell r="D16">
            <v>109.4726976744186</v>
          </cell>
          <cell r="E16">
            <v>-7.303302325581413</v>
          </cell>
          <cell r="F16">
            <v>-47.32335348837215</v>
          </cell>
          <cell r="H16">
            <v>9.632</v>
          </cell>
          <cell r="I16">
            <v>8.847404651162792</v>
          </cell>
          <cell r="J16">
            <v>-0.7845953488372075</v>
          </cell>
          <cell r="K16">
            <v>-6.3389255813953405</v>
          </cell>
          <cell r="M16">
            <v>37.16</v>
          </cell>
          <cell r="N16">
            <v>40.77406511627907</v>
          </cell>
          <cell r="O16">
            <v>3.614065116279072</v>
          </cell>
          <cell r="P16">
            <v>32.67130232558139</v>
          </cell>
          <cell r="R16">
            <v>163.568</v>
          </cell>
          <cell r="S16">
            <v>159.09416744186046</v>
          </cell>
          <cell r="T16">
            <v>-4.473832558139549</v>
          </cell>
          <cell r="U16">
            <v>-20.990976744186128</v>
          </cell>
        </row>
        <row r="17">
          <cell r="A17">
            <v>39448</v>
          </cell>
          <cell r="C17">
            <v>152.981</v>
          </cell>
          <cell r="D17">
            <v>150.52809302325582</v>
          </cell>
          <cell r="E17">
            <v>-2.452906976744174</v>
          </cell>
          <cell r="F17">
            <v>-49.77626046511632</v>
          </cell>
          <cell r="H17">
            <v>12.453</v>
          </cell>
          <cell r="I17">
            <v>12.238376744186047</v>
          </cell>
          <cell r="J17">
            <v>-0.2146232558139527</v>
          </cell>
          <cell r="K17">
            <v>-6.553548837209293</v>
          </cell>
          <cell r="M17">
            <v>44.138</v>
          </cell>
          <cell r="N17">
            <v>48.81358604651163</v>
          </cell>
          <cell r="O17">
            <v>4.675586046511633</v>
          </cell>
          <cell r="P17">
            <v>37.34688837209302</v>
          </cell>
          <cell r="R17">
            <v>209.572</v>
          </cell>
          <cell r="S17">
            <v>211.5800558139535</v>
          </cell>
          <cell r="T17">
            <v>2.00805581395349</v>
          </cell>
          <cell r="U17">
            <v>-18.982920930232638</v>
          </cell>
        </row>
        <row r="18">
          <cell r="A18">
            <v>39479</v>
          </cell>
          <cell r="C18">
            <v>127.70599999999999</v>
          </cell>
          <cell r="D18">
            <v>122.4812093023256</v>
          </cell>
          <cell r="E18">
            <v>-5.224790697674393</v>
          </cell>
          <cell r="F18">
            <v>-55.001051162790716</v>
          </cell>
          <cell r="H18">
            <v>10.761</v>
          </cell>
          <cell r="I18">
            <v>10.292046511627909</v>
          </cell>
          <cell r="J18">
            <v>-0.4689534883720903</v>
          </cell>
          <cell r="K18">
            <v>-7.022502325581383</v>
          </cell>
          <cell r="M18">
            <v>37.307</v>
          </cell>
          <cell r="N18">
            <v>41.83913023255815</v>
          </cell>
          <cell r="O18">
            <v>4.532130232558146</v>
          </cell>
          <cell r="P18">
            <v>41.879018604651165</v>
          </cell>
          <cell r="R18">
            <v>175.774</v>
          </cell>
          <cell r="S18">
            <v>174.61238604651163</v>
          </cell>
          <cell r="T18">
            <v>-1.16161395348837</v>
          </cell>
          <cell r="U18">
            <v>-20.144534883721008</v>
          </cell>
        </row>
        <row r="19">
          <cell r="A19">
            <v>39508</v>
          </cell>
        </row>
        <row r="20">
          <cell r="A20" t="str">
            <v>Sheep</v>
          </cell>
        </row>
        <row r="21">
          <cell r="A21">
            <v>39173</v>
          </cell>
          <cell r="C21">
            <v>847.9720000000001</v>
          </cell>
          <cell r="D21">
            <v>856.916</v>
          </cell>
          <cell r="E21">
            <v>8.94399999999996</v>
          </cell>
          <cell r="F21">
            <v>8.94399999999996</v>
          </cell>
          <cell r="H21">
            <v>305.26599999999996</v>
          </cell>
          <cell r="I21">
            <v>305.326</v>
          </cell>
          <cell r="J21">
            <v>0.06000000000005912</v>
          </cell>
          <cell r="K21">
            <v>0.06000000000005912</v>
          </cell>
          <cell r="M21">
            <v>132.25</v>
          </cell>
          <cell r="N21">
            <v>132.351</v>
          </cell>
          <cell r="O21">
            <v>0.10099999999999909</v>
          </cell>
          <cell r="P21">
            <v>0.10099999999999909</v>
          </cell>
          <cell r="R21">
            <v>1285.488</v>
          </cell>
          <cell r="S21">
            <v>1294.593</v>
          </cell>
          <cell r="T21">
            <v>9.105000000000018</v>
          </cell>
          <cell r="U21">
            <v>9.105000000000018</v>
          </cell>
        </row>
        <row r="22">
          <cell r="A22">
            <v>39203</v>
          </cell>
          <cell r="C22">
            <v>685.42</v>
          </cell>
          <cell r="D22">
            <v>667.569</v>
          </cell>
          <cell r="E22">
            <v>-17.851</v>
          </cell>
          <cell r="F22">
            <v>-8.907000000000039</v>
          </cell>
          <cell r="H22">
            <v>262.159</v>
          </cell>
          <cell r="I22">
            <v>260.62399999999997</v>
          </cell>
          <cell r="J22">
            <v>-1.535000000000025</v>
          </cell>
          <cell r="K22">
            <v>-1.474999999999966</v>
          </cell>
          <cell r="M22">
            <v>70.321</v>
          </cell>
          <cell r="N22">
            <v>70.483</v>
          </cell>
          <cell r="O22">
            <v>0.16200000000000614</v>
          </cell>
          <cell r="P22">
            <v>0.26300000000000523</v>
          </cell>
          <cell r="R22">
            <v>1017.9</v>
          </cell>
          <cell r="S22">
            <v>998.676</v>
          </cell>
          <cell r="T22">
            <v>-19.223999999999933</v>
          </cell>
          <cell r="U22">
            <v>-10.118999999999915</v>
          </cell>
        </row>
        <row r="23">
          <cell r="A23">
            <v>39234</v>
          </cell>
          <cell r="C23">
            <v>702.1660000000002</v>
          </cell>
          <cell r="D23">
            <v>688.336</v>
          </cell>
          <cell r="E23">
            <v>-13.830000000000155</v>
          </cell>
          <cell r="F23">
            <v>-22.737000000000194</v>
          </cell>
          <cell r="H23">
            <v>311.15</v>
          </cell>
          <cell r="I23">
            <v>302.873</v>
          </cell>
          <cell r="J23">
            <v>-8.276999999999987</v>
          </cell>
          <cell r="K23">
            <v>-9.751999999999953</v>
          </cell>
          <cell r="M23">
            <v>88.429</v>
          </cell>
          <cell r="N23">
            <v>88.983</v>
          </cell>
          <cell r="O23">
            <v>0.554000000000002</v>
          </cell>
          <cell r="P23">
            <v>0.8170000000000073</v>
          </cell>
          <cell r="R23">
            <v>1101.7450000000001</v>
          </cell>
          <cell r="S23">
            <v>1080.192</v>
          </cell>
          <cell r="T23">
            <v>-21.55300000000011</v>
          </cell>
          <cell r="U23">
            <v>-31.672000000000025</v>
          </cell>
        </row>
        <row r="24">
          <cell r="A24">
            <v>39264</v>
          </cell>
          <cell r="C24">
            <v>907.311</v>
          </cell>
          <cell r="D24">
            <v>922.9190000000001</v>
          </cell>
          <cell r="E24">
            <v>15.608000000000061</v>
          </cell>
          <cell r="F24">
            <v>-7.129000000000133</v>
          </cell>
          <cell r="H24">
            <v>458.216</v>
          </cell>
          <cell r="I24">
            <v>457.23900000000003</v>
          </cell>
          <cell r="J24">
            <v>-0.9769999999999754</v>
          </cell>
          <cell r="K24">
            <v>-10.728999999999928</v>
          </cell>
          <cell r="M24">
            <v>146.262</v>
          </cell>
          <cell r="N24">
            <v>146.002</v>
          </cell>
          <cell r="O24">
            <v>-0.2599999999999909</v>
          </cell>
          <cell r="P24">
            <v>0.5570000000000164</v>
          </cell>
          <cell r="R24">
            <v>1511.789</v>
          </cell>
          <cell r="S24">
            <v>1526.1599999999999</v>
          </cell>
          <cell r="T24">
            <v>14.370999999999867</v>
          </cell>
          <cell r="U24">
            <v>-17.30100000000016</v>
          </cell>
        </row>
        <row r="25">
          <cell r="A25">
            <v>39295</v>
          </cell>
          <cell r="C25">
            <v>581.8969999999999</v>
          </cell>
          <cell r="D25">
            <v>582.174</v>
          </cell>
          <cell r="E25">
            <v>0.27700000000004366</v>
          </cell>
          <cell r="F25">
            <v>-6.852000000000089</v>
          </cell>
          <cell r="H25">
            <v>280.81300000000005</v>
          </cell>
          <cell r="I25">
            <v>280.342</v>
          </cell>
          <cell r="J25">
            <v>-0.4710000000000605</v>
          </cell>
          <cell r="K25">
            <v>-11.199999999999989</v>
          </cell>
          <cell r="M25">
            <v>101.614</v>
          </cell>
          <cell r="N25">
            <v>102.298</v>
          </cell>
          <cell r="O25">
            <v>0.6839999999999975</v>
          </cell>
          <cell r="P25">
            <v>1.2410000000000139</v>
          </cell>
          <cell r="R25">
            <v>964.3240000000001</v>
          </cell>
          <cell r="S25">
            <v>964.814</v>
          </cell>
          <cell r="T25">
            <v>0.4899999999998954</v>
          </cell>
          <cell r="U25">
            <v>-16.811000000000263</v>
          </cell>
        </row>
        <row r="26">
          <cell r="A26">
            <v>39326</v>
          </cell>
          <cell r="C26">
            <v>724.0740000000003</v>
          </cell>
          <cell r="D26">
            <v>697.5029999999999</v>
          </cell>
          <cell r="E26">
            <v>-26.571000000000367</v>
          </cell>
          <cell r="F26">
            <v>-33.42300000000046</v>
          </cell>
          <cell r="H26">
            <v>396.069</v>
          </cell>
          <cell r="I26">
            <v>387.803</v>
          </cell>
          <cell r="J26">
            <v>-8.26600000000002</v>
          </cell>
          <cell r="K26">
            <v>-19.466000000000008</v>
          </cell>
          <cell r="M26">
            <v>117.983</v>
          </cell>
          <cell r="N26">
            <v>119.13199999999999</v>
          </cell>
          <cell r="O26">
            <v>1.1489999999999867</v>
          </cell>
          <cell r="P26">
            <v>2.3900000000000006</v>
          </cell>
          <cell r="R26">
            <v>1238.1260000000002</v>
          </cell>
          <cell r="S26">
            <v>1204.438</v>
          </cell>
          <cell r="T26">
            <v>-33.6880000000001</v>
          </cell>
          <cell r="U26">
            <v>-50.499000000000365</v>
          </cell>
        </row>
        <row r="27">
          <cell r="A27">
            <v>39356</v>
          </cell>
          <cell r="C27">
            <v>896.049</v>
          </cell>
          <cell r="D27">
            <v>925.509</v>
          </cell>
          <cell r="E27">
            <v>29.460000000000036</v>
          </cell>
          <cell r="F27">
            <v>-3.96300000000042</v>
          </cell>
          <cell r="H27">
            <v>492.42699999999996</v>
          </cell>
          <cell r="I27">
            <v>523.083</v>
          </cell>
          <cell r="J27">
            <v>30.656000000000006</v>
          </cell>
          <cell r="K27">
            <v>11.189999999999998</v>
          </cell>
          <cell r="M27">
            <v>162.656</v>
          </cell>
          <cell r="N27">
            <v>164.92000000000002</v>
          </cell>
          <cell r="O27">
            <v>2.26400000000001</v>
          </cell>
          <cell r="P27">
            <v>4.654000000000011</v>
          </cell>
          <cell r="R27">
            <v>1551.1319999999998</v>
          </cell>
          <cell r="S27">
            <v>1613.5120000000002</v>
          </cell>
          <cell r="T27">
            <v>62.38000000000034</v>
          </cell>
          <cell r="U27">
            <v>11.880999999999972</v>
          </cell>
        </row>
        <row r="28">
          <cell r="A28">
            <v>39387</v>
          </cell>
          <cell r="C28">
            <v>826.4079999999998</v>
          </cell>
          <cell r="D28">
            <v>815.211</v>
          </cell>
          <cell r="E28">
            <v>-11.196999999999775</v>
          </cell>
          <cell r="F28">
            <v>-15.160000000000196</v>
          </cell>
          <cell r="H28">
            <v>432.475</v>
          </cell>
          <cell r="I28">
            <v>455.503</v>
          </cell>
          <cell r="J28">
            <v>23.027999999999963</v>
          </cell>
          <cell r="K28">
            <v>34.21799999999996</v>
          </cell>
          <cell r="M28">
            <v>159.793</v>
          </cell>
          <cell r="N28">
            <v>160.71599999999998</v>
          </cell>
          <cell r="O28">
            <v>0.9229999999999734</v>
          </cell>
          <cell r="P28">
            <v>5.576999999999984</v>
          </cell>
          <cell r="R28">
            <v>1418.676</v>
          </cell>
          <cell r="S28">
            <v>1431.4299999999998</v>
          </cell>
          <cell r="T28">
            <v>12.753999999999905</v>
          </cell>
          <cell r="U28">
            <v>24.634999999999877</v>
          </cell>
        </row>
        <row r="29">
          <cell r="A29">
            <v>39417</v>
          </cell>
          <cell r="C29">
            <v>880.9330000000002</v>
          </cell>
          <cell r="D29">
            <v>838.538</v>
          </cell>
          <cell r="E29">
            <v>-42.39500000000021</v>
          </cell>
          <cell r="F29">
            <v>-57.555000000000405</v>
          </cell>
          <cell r="H29">
            <v>444.057</v>
          </cell>
          <cell r="I29">
            <v>438.421</v>
          </cell>
          <cell r="J29">
            <v>-5.636000000000024</v>
          </cell>
          <cell r="K29">
            <v>28.581999999999937</v>
          </cell>
          <cell r="M29">
            <v>135.243</v>
          </cell>
          <cell r="N29">
            <v>137.121</v>
          </cell>
          <cell r="O29">
            <v>1.8780000000000143</v>
          </cell>
          <cell r="P29">
            <v>7.454999999999998</v>
          </cell>
          <cell r="R29">
            <v>1460.2330000000002</v>
          </cell>
          <cell r="S29">
            <v>1414.08</v>
          </cell>
          <cell r="T29">
            <v>-46.15300000000025</v>
          </cell>
          <cell r="U29">
            <v>-21.51800000000037</v>
          </cell>
        </row>
        <row r="30">
          <cell r="A30">
            <v>39448</v>
          </cell>
          <cell r="C30">
            <v>956.6919999999999</v>
          </cell>
          <cell r="D30">
            <v>934.415</v>
          </cell>
          <cell r="E30">
            <v>-22.27699999999993</v>
          </cell>
          <cell r="F30">
            <v>-79.83200000000033</v>
          </cell>
          <cell r="H30">
            <v>483.072</v>
          </cell>
          <cell r="I30">
            <v>487.25700000000006</v>
          </cell>
          <cell r="J30">
            <v>4.185000000000059</v>
          </cell>
          <cell r="K30">
            <v>32.766999999999996</v>
          </cell>
          <cell r="M30">
            <v>169.88299999999998</v>
          </cell>
          <cell r="N30">
            <v>170.178</v>
          </cell>
          <cell r="O30">
            <v>0.2950000000000159</v>
          </cell>
          <cell r="P30">
            <v>7.750000000000014</v>
          </cell>
          <cell r="R30">
            <v>1609.647</v>
          </cell>
          <cell r="S30">
            <v>1591.85</v>
          </cell>
          <cell r="T30">
            <v>-17.797000000000025</v>
          </cell>
          <cell r="U30">
            <v>-39.315000000000396</v>
          </cell>
        </row>
        <row r="31">
          <cell r="A31">
            <v>39479</v>
          </cell>
          <cell r="C31">
            <v>742.477</v>
          </cell>
          <cell r="D31">
            <v>739.712</v>
          </cell>
          <cell r="E31">
            <v>-2.7649999999999864</v>
          </cell>
          <cell r="F31">
            <v>-82.59700000000032</v>
          </cell>
          <cell r="H31">
            <v>335.706</v>
          </cell>
          <cell r="I31">
            <v>343.07000000000005</v>
          </cell>
          <cell r="J31">
            <v>7.364000000000033</v>
          </cell>
          <cell r="K31">
            <v>40.13100000000003</v>
          </cell>
          <cell r="M31">
            <v>133.595</v>
          </cell>
          <cell r="N31">
            <v>133.594</v>
          </cell>
          <cell r="O31">
            <v>-0.0010000000000047748</v>
          </cell>
          <cell r="P31">
            <v>7.749000000000009</v>
          </cell>
          <cell r="R31">
            <v>1211.778</v>
          </cell>
          <cell r="S31">
            <v>1216.376</v>
          </cell>
          <cell r="T31">
            <v>4.597999999999956</v>
          </cell>
          <cell r="U31">
            <v>-34.71700000000044</v>
          </cell>
        </row>
        <row r="32">
          <cell r="A32">
            <v>39508</v>
          </cell>
        </row>
        <row r="33">
          <cell r="A33" t="str">
            <v>Pigs</v>
          </cell>
        </row>
        <row r="34">
          <cell r="A34">
            <v>39173</v>
          </cell>
          <cell r="C34">
            <v>697.1639999999999</v>
          </cell>
          <cell r="D34">
            <v>692.6190000000001</v>
          </cell>
          <cell r="E34">
            <v>-4.544999999999732</v>
          </cell>
          <cell r="F34">
            <v>-4.544999999999732</v>
          </cell>
          <cell r="H34">
            <v>2.553</v>
          </cell>
          <cell r="I34">
            <v>2.552</v>
          </cell>
          <cell r="J34">
            <v>-0.0009999999999998899</v>
          </cell>
          <cell r="K34">
            <v>-0.0009999999999998899</v>
          </cell>
          <cell r="M34">
            <v>71.55000000000001</v>
          </cell>
          <cell r="N34">
            <v>71.549</v>
          </cell>
          <cell r="O34">
            <v>-0.0010000000000047748</v>
          </cell>
          <cell r="P34">
            <v>-0.0010000000000047748</v>
          </cell>
          <cell r="R34">
            <v>771.2669999999999</v>
          </cell>
          <cell r="S34">
            <v>766.72</v>
          </cell>
          <cell r="T34">
            <v>-4.546999999999912</v>
          </cell>
          <cell r="U34">
            <v>-4.546999999999912</v>
          </cell>
        </row>
        <row r="35">
          <cell r="A35">
            <v>39203</v>
          </cell>
          <cell r="C35">
            <v>546.1569999999999</v>
          </cell>
          <cell r="D35">
            <v>540.215</v>
          </cell>
          <cell r="E35">
            <v>-5.941999999999894</v>
          </cell>
          <cell r="F35">
            <v>-10.486999999999625</v>
          </cell>
          <cell r="H35">
            <v>2.552</v>
          </cell>
          <cell r="I35">
            <v>2.254</v>
          </cell>
          <cell r="J35">
            <v>-0.29800000000000004</v>
          </cell>
          <cell r="K35">
            <v>-0.29899999999999993</v>
          </cell>
          <cell r="M35">
            <v>57.326</v>
          </cell>
          <cell r="N35">
            <v>57.322</v>
          </cell>
          <cell r="O35">
            <v>-0.003999999999997783</v>
          </cell>
          <cell r="P35">
            <v>-0.005000000000002558</v>
          </cell>
          <cell r="R35">
            <v>606.035</v>
          </cell>
          <cell r="S35">
            <v>599.791</v>
          </cell>
          <cell r="T35">
            <v>-6.2439999999999145</v>
          </cell>
          <cell r="U35">
            <v>-10.790999999999826</v>
          </cell>
        </row>
        <row r="36">
          <cell r="A36">
            <v>39234</v>
          </cell>
          <cell r="C36">
            <v>579.7009999999999</v>
          </cell>
          <cell r="D36">
            <v>567.5179999999999</v>
          </cell>
          <cell r="E36">
            <v>-12.182999999999993</v>
          </cell>
          <cell r="F36">
            <v>-22.669999999999618</v>
          </cell>
          <cell r="H36">
            <v>3.743</v>
          </cell>
          <cell r="I36">
            <v>2.3819999999999997</v>
          </cell>
          <cell r="J36">
            <v>-1.3610000000000002</v>
          </cell>
          <cell r="K36">
            <v>-1.6600000000000001</v>
          </cell>
          <cell r="M36">
            <v>55.708999999999996</v>
          </cell>
          <cell r="N36">
            <v>55.91799999999999</v>
          </cell>
          <cell r="O36">
            <v>0.20899999999999608</v>
          </cell>
          <cell r="P36">
            <v>0.20399999999999352</v>
          </cell>
          <cell r="R36">
            <v>639.1529999999999</v>
          </cell>
          <cell r="S36">
            <v>625.818</v>
          </cell>
          <cell r="T36">
            <v>-13.334999999999923</v>
          </cell>
          <cell r="U36">
            <v>-24.12599999999975</v>
          </cell>
        </row>
        <row r="37">
          <cell r="A37">
            <v>39264</v>
          </cell>
          <cell r="C37">
            <v>711.79</v>
          </cell>
          <cell r="D37">
            <v>707.1099999999999</v>
          </cell>
          <cell r="E37">
            <v>-4.680000000000064</v>
          </cell>
          <cell r="F37">
            <v>-27.34999999999968</v>
          </cell>
          <cell r="H37">
            <v>2.941</v>
          </cell>
          <cell r="I37">
            <v>3.2199999999999998</v>
          </cell>
          <cell r="J37">
            <v>0.2789999999999999</v>
          </cell>
          <cell r="K37">
            <v>-1.3810000000000002</v>
          </cell>
          <cell r="M37">
            <v>67.772</v>
          </cell>
          <cell r="N37">
            <v>68.07</v>
          </cell>
          <cell r="O37">
            <v>0.2979999999999876</v>
          </cell>
          <cell r="P37">
            <v>0.5019999999999811</v>
          </cell>
          <cell r="R37">
            <v>782.503</v>
          </cell>
          <cell r="S37">
            <v>778.4</v>
          </cell>
          <cell r="T37">
            <v>-4.1030000000000655</v>
          </cell>
          <cell r="U37">
            <v>-28.228999999999814</v>
          </cell>
        </row>
        <row r="38">
          <cell r="A38">
            <v>39295</v>
          </cell>
          <cell r="C38">
            <v>488.10200000000003</v>
          </cell>
          <cell r="D38">
            <v>486.519</v>
          </cell>
          <cell r="E38">
            <v>-1.5830000000000268</v>
          </cell>
          <cell r="F38">
            <v>-28.93299999999971</v>
          </cell>
          <cell r="H38">
            <v>2.325</v>
          </cell>
          <cell r="I38">
            <v>2.1189999999999998</v>
          </cell>
          <cell r="J38">
            <v>-0.2060000000000004</v>
          </cell>
          <cell r="K38">
            <v>-1.5870000000000006</v>
          </cell>
          <cell r="M38">
            <v>54.958</v>
          </cell>
          <cell r="N38">
            <v>54.632</v>
          </cell>
          <cell r="O38">
            <v>-0.3260000000000005</v>
          </cell>
          <cell r="P38">
            <v>0.17599999999998062</v>
          </cell>
          <cell r="R38">
            <v>545.385</v>
          </cell>
          <cell r="S38">
            <v>543.27</v>
          </cell>
          <cell r="T38">
            <v>-2.115000000000009</v>
          </cell>
          <cell r="U38">
            <v>-30.343999999999824</v>
          </cell>
        </row>
        <row r="39">
          <cell r="A39">
            <v>39326</v>
          </cell>
          <cell r="C39">
            <v>565.322</v>
          </cell>
          <cell r="D39">
            <v>557.575</v>
          </cell>
          <cell r="E39">
            <v>-7.746999999999957</v>
          </cell>
          <cell r="F39">
            <v>-36.679999999999666</v>
          </cell>
          <cell r="H39">
            <v>2.297</v>
          </cell>
          <cell r="I39">
            <v>6.172</v>
          </cell>
          <cell r="J39">
            <v>3.8749999999999996</v>
          </cell>
          <cell r="K39">
            <v>2.287999999999999</v>
          </cell>
          <cell r="M39">
            <v>62.52</v>
          </cell>
          <cell r="N39">
            <v>62.54899999999999</v>
          </cell>
          <cell r="O39">
            <v>0.028999999999989257</v>
          </cell>
          <cell r="P39">
            <v>0.20499999999996987</v>
          </cell>
          <cell r="R39">
            <v>630.139</v>
          </cell>
          <cell r="S39">
            <v>626.2959999999999</v>
          </cell>
          <cell r="T39">
            <v>-3.8430000000000746</v>
          </cell>
          <cell r="U39">
            <v>-34.1869999999999</v>
          </cell>
        </row>
        <row r="40">
          <cell r="A40">
            <v>39356</v>
          </cell>
          <cell r="C40">
            <v>754.4</v>
          </cell>
          <cell r="D40">
            <v>768.09</v>
          </cell>
          <cell r="E40">
            <v>13.690000000000055</v>
          </cell>
          <cell r="F40">
            <v>-22.98999999999961</v>
          </cell>
          <cell r="H40">
            <v>2.978</v>
          </cell>
          <cell r="I40">
            <v>3.4159999999999995</v>
          </cell>
          <cell r="J40">
            <v>0.4379999999999993</v>
          </cell>
          <cell r="K40">
            <v>2.725999999999998</v>
          </cell>
          <cell r="M40">
            <v>76.225</v>
          </cell>
          <cell r="N40">
            <v>76.255</v>
          </cell>
          <cell r="O40">
            <v>0.030000000000001137</v>
          </cell>
          <cell r="P40">
            <v>0.234999999999971</v>
          </cell>
          <cell r="R40">
            <v>833.603</v>
          </cell>
          <cell r="S40">
            <v>847.761</v>
          </cell>
          <cell r="T40">
            <v>14.158000000000015</v>
          </cell>
          <cell r="U40">
            <v>-20.028999999999883</v>
          </cell>
        </row>
        <row r="41">
          <cell r="A41">
            <v>39387</v>
          </cell>
          <cell r="C41">
            <v>646.464</v>
          </cell>
          <cell r="D41">
            <v>646.4999999999999</v>
          </cell>
          <cell r="E41">
            <v>0.035999999999830834</v>
          </cell>
          <cell r="F41">
            <v>-22.95399999999978</v>
          </cell>
          <cell r="H41">
            <v>2.577</v>
          </cell>
          <cell r="I41">
            <v>2.424</v>
          </cell>
          <cell r="J41">
            <v>-0.15300000000000002</v>
          </cell>
          <cell r="K41">
            <v>2.572999999999998</v>
          </cell>
          <cell r="M41">
            <v>68.261</v>
          </cell>
          <cell r="N41">
            <v>68.311</v>
          </cell>
          <cell r="O41">
            <v>0.05000000000001137</v>
          </cell>
          <cell r="P41">
            <v>0.2849999999999824</v>
          </cell>
          <cell r="R41">
            <v>717.302</v>
          </cell>
          <cell r="S41">
            <v>717.235</v>
          </cell>
          <cell r="T41">
            <v>-0.06700000000000728</v>
          </cell>
          <cell r="U41">
            <v>-20.09599999999989</v>
          </cell>
        </row>
        <row r="42">
          <cell r="A42">
            <v>39417</v>
          </cell>
          <cell r="C42">
            <v>587.466</v>
          </cell>
          <cell r="D42">
            <v>574.213</v>
          </cell>
          <cell r="E42">
            <v>-13.253000000000043</v>
          </cell>
          <cell r="F42">
            <v>-36.20699999999982</v>
          </cell>
          <cell r="H42">
            <v>2.655</v>
          </cell>
          <cell r="I42">
            <v>1.9840000000000002</v>
          </cell>
          <cell r="J42">
            <v>-0.6709999999999996</v>
          </cell>
          <cell r="K42">
            <v>1.9019999999999986</v>
          </cell>
          <cell r="M42">
            <v>57.547</v>
          </cell>
          <cell r="N42">
            <v>57.572</v>
          </cell>
          <cell r="O42">
            <v>0.025000000000005684</v>
          </cell>
          <cell r="P42">
            <v>0.30999999999998806</v>
          </cell>
          <cell r="R42">
            <v>647.668</v>
          </cell>
          <cell r="S42">
            <v>633.7690000000001</v>
          </cell>
          <cell r="T42">
            <v>-13.898999999999887</v>
          </cell>
          <cell r="U42">
            <v>-33.99499999999978</v>
          </cell>
        </row>
        <row r="43">
          <cell r="A43">
            <v>39448</v>
          </cell>
          <cell r="C43">
            <v>712.0589999999999</v>
          </cell>
          <cell r="D43">
            <v>719.4550000000002</v>
          </cell>
          <cell r="E43">
            <v>7.396000000000299</v>
          </cell>
          <cell r="F43">
            <v>-28.810999999999524</v>
          </cell>
          <cell r="H43">
            <v>2.027</v>
          </cell>
          <cell r="I43">
            <v>2.761</v>
          </cell>
          <cell r="J43">
            <v>0.734</v>
          </cell>
          <cell r="K43">
            <v>2.6359999999999983</v>
          </cell>
          <cell r="M43">
            <v>66.917</v>
          </cell>
          <cell r="N43">
            <v>67.356</v>
          </cell>
          <cell r="O43">
            <v>0.43899999999999295</v>
          </cell>
          <cell r="P43">
            <v>0.748999999999981</v>
          </cell>
          <cell r="R43">
            <v>781.0029999999999</v>
          </cell>
          <cell r="S43">
            <v>789.5720000000001</v>
          </cell>
          <cell r="T43">
            <v>8.569000000000187</v>
          </cell>
          <cell r="U43">
            <v>-25.42599999999959</v>
          </cell>
        </row>
        <row r="44">
          <cell r="A44">
            <v>39479</v>
          </cell>
          <cell r="C44">
            <v>597.4040000000001</v>
          </cell>
          <cell r="D44">
            <v>595.1579999999999</v>
          </cell>
          <cell r="E44">
            <v>-2.2460000000002083</v>
          </cell>
          <cell r="F44">
            <v>-31.056999999999732</v>
          </cell>
          <cell r="H44">
            <v>2.221</v>
          </cell>
          <cell r="I44">
            <v>2.86</v>
          </cell>
          <cell r="J44">
            <v>0.6389999999999998</v>
          </cell>
          <cell r="K44">
            <v>3.274999999999998</v>
          </cell>
          <cell r="M44">
            <v>57.939</v>
          </cell>
          <cell r="N44">
            <v>58.01899999999999</v>
          </cell>
          <cell r="O44">
            <v>0.07999999999999119</v>
          </cell>
          <cell r="P44">
            <v>0.8289999999999722</v>
          </cell>
          <cell r="R44">
            <v>657.5640000000001</v>
          </cell>
          <cell r="S44">
            <v>656.037</v>
          </cell>
          <cell r="T44">
            <v>-1.5270000000000437</v>
          </cell>
          <cell r="U44">
            <v>-26.952999999999633</v>
          </cell>
        </row>
        <row r="45">
          <cell r="A45">
            <v>39508</v>
          </cell>
        </row>
      </sheetData>
      <sheetData sheetId="3">
        <row r="1">
          <cell r="A1" t="str">
            <v>2007/08 GB LEVY MONITOR</v>
          </cell>
        </row>
        <row r="2">
          <cell r="A2" t="str">
            <v>Based on January 2008 forecasts</v>
          </cell>
          <cell r="R2" t="str">
            <v> </v>
          </cell>
        </row>
        <row r="4">
          <cell r="B4" t="str">
            <v>     CATTLE FORECASTS</v>
          </cell>
          <cell r="I4" t="str">
            <v>     SHEEP FORECASTS</v>
          </cell>
          <cell r="Q4" t="str">
            <v>     PIG FORECASTS</v>
          </cell>
        </row>
        <row r="5">
          <cell r="B5" t="str">
            <v>       Current year</v>
          </cell>
          <cell r="F5" t="str">
            <v>         Previous year</v>
          </cell>
          <cell r="I5" t="str">
            <v>       Current year</v>
          </cell>
          <cell r="M5" t="str">
            <v>         Previous year</v>
          </cell>
          <cell r="Q5" t="str">
            <v>       Current year</v>
          </cell>
          <cell r="U5" t="str">
            <v>         Previous year</v>
          </cell>
        </row>
        <row r="6">
          <cell r="B6" t="str">
            <v>Actual</v>
          </cell>
          <cell r="C6" t="str">
            <v>Forecast</v>
          </cell>
          <cell r="D6" t="str">
            <v>Deviation</v>
          </cell>
          <cell r="E6" t="str">
            <v>CuSum</v>
          </cell>
          <cell r="F6" t="str">
            <v>Actual</v>
          </cell>
          <cell r="G6" t="str">
            <v>change</v>
          </cell>
          <cell r="I6" t="str">
            <v>Actual</v>
          </cell>
          <cell r="J6" t="str">
            <v>Forecast</v>
          </cell>
          <cell r="K6" t="str">
            <v>Deviation</v>
          </cell>
          <cell r="L6" t="str">
            <v>CuSum</v>
          </cell>
          <cell r="M6" t="str">
            <v>Actual</v>
          </cell>
          <cell r="N6" t="str">
            <v>change</v>
          </cell>
          <cell r="Q6" t="str">
            <v>Actual</v>
          </cell>
          <cell r="R6" t="str">
            <v>Forecast</v>
          </cell>
          <cell r="S6" t="str">
            <v>Deviation</v>
          </cell>
          <cell r="T6" t="str">
            <v>CuSum</v>
          </cell>
          <cell r="U6" t="str">
            <v>Actual</v>
          </cell>
          <cell r="V6" t="str">
            <v>change</v>
          </cell>
        </row>
        <row r="7">
          <cell r="B7" t="str">
            <v>     000 head</v>
          </cell>
          <cell r="G7" t="str">
            <v>%</v>
          </cell>
          <cell r="N7" t="str">
            <v>%</v>
          </cell>
          <cell r="V7" t="str">
            <v>%</v>
          </cell>
        </row>
        <row r="8">
          <cell r="A8" t="str">
            <v>week ending:</v>
          </cell>
        </row>
        <row r="9">
          <cell r="A9">
            <v>39179</v>
          </cell>
          <cell r="B9">
            <v>36.96842790697674</v>
          </cell>
          <cell r="C9">
            <v>36.96842790697674</v>
          </cell>
          <cell r="D9">
            <v>0</v>
          </cell>
          <cell r="E9">
            <v>0</v>
          </cell>
          <cell r="F9">
            <v>37.63737674418605</v>
          </cell>
          <cell r="G9">
            <v>-1.7773524487533336</v>
          </cell>
          <cell r="I9">
            <v>258.744</v>
          </cell>
          <cell r="J9">
            <v>258.744</v>
          </cell>
          <cell r="K9">
            <v>0</v>
          </cell>
          <cell r="L9">
            <v>0</v>
          </cell>
          <cell r="M9">
            <v>248.29500000000002</v>
          </cell>
          <cell r="N9">
            <v>4.208300610161302</v>
          </cell>
          <cell r="Q9">
            <v>136.538</v>
          </cell>
          <cell r="R9">
            <v>136.538</v>
          </cell>
          <cell r="S9">
            <v>0</v>
          </cell>
          <cell r="T9">
            <v>0</v>
          </cell>
          <cell r="U9">
            <v>148.154</v>
          </cell>
          <cell r="V9">
            <v>-7.840490300633121</v>
          </cell>
        </row>
        <row r="10">
          <cell r="A10">
            <v>39186</v>
          </cell>
          <cell r="B10">
            <v>34.981702325581395</v>
          </cell>
          <cell r="C10">
            <v>34.981702325581395</v>
          </cell>
          <cell r="D10">
            <v>0</v>
          </cell>
          <cell r="E10">
            <v>0</v>
          </cell>
          <cell r="F10">
            <v>36.105344186046516</v>
          </cell>
          <cell r="G10">
            <v>-3.112120617588161</v>
          </cell>
          <cell r="I10">
            <v>244.98199999999997</v>
          </cell>
          <cell r="J10">
            <v>244.98199999999997</v>
          </cell>
          <cell r="K10">
            <v>0</v>
          </cell>
          <cell r="L10">
            <v>0</v>
          </cell>
          <cell r="M10">
            <v>252.149</v>
          </cell>
          <cell r="N10">
            <v>-2.8423670131549272</v>
          </cell>
          <cell r="Q10">
            <v>142.073</v>
          </cell>
          <cell r="R10">
            <v>142.073</v>
          </cell>
          <cell r="S10">
            <v>0</v>
          </cell>
          <cell r="T10">
            <v>0</v>
          </cell>
          <cell r="U10">
            <v>126.42200000000001</v>
          </cell>
          <cell r="V10">
            <v>12.379965512331708</v>
          </cell>
        </row>
        <row r="11">
          <cell r="A11">
            <v>39193</v>
          </cell>
          <cell r="B11">
            <v>42.572162790697675</v>
          </cell>
          <cell r="C11">
            <v>42.572162790697675</v>
          </cell>
          <cell r="D11">
            <v>0</v>
          </cell>
          <cell r="E11">
            <v>0</v>
          </cell>
          <cell r="F11">
            <v>33.9791488372093</v>
          </cell>
          <cell r="G11">
            <v>25.289079472404225</v>
          </cell>
          <cell r="I11">
            <v>254.98399999999998</v>
          </cell>
          <cell r="J11">
            <v>254.98399999999998</v>
          </cell>
          <cell r="K11">
            <v>0</v>
          </cell>
          <cell r="L11">
            <v>0</v>
          </cell>
          <cell r="M11">
            <v>226.357</v>
          </cell>
          <cell r="N11">
            <v>12.646836634166363</v>
          </cell>
          <cell r="Q11">
            <v>161.95499999999998</v>
          </cell>
          <cell r="R11">
            <v>161.955</v>
          </cell>
          <cell r="S11">
            <v>-2.842170943040401E-14</v>
          </cell>
          <cell r="T11">
            <v>-2.842170943040401E-14</v>
          </cell>
          <cell r="U11">
            <v>135.56</v>
          </cell>
          <cell r="V11">
            <v>19.471082915314227</v>
          </cell>
        </row>
        <row r="12">
          <cell r="A12">
            <v>39200</v>
          </cell>
          <cell r="B12">
            <v>41.925725581395355</v>
          </cell>
          <cell r="C12">
            <v>41.925725581395355</v>
          </cell>
          <cell r="D12">
            <v>0</v>
          </cell>
          <cell r="E12">
            <v>0</v>
          </cell>
          <cell r="F12">
            <v>42.91613023255814</v>
          </cell>
          <cell r="G12">
            <v>-2.3077678387960106</v>
          </cell>
          <cell r="I12">
            <v>248.328</v>
          </cell>
          <cell r="J12">
            <v>248.328</v>
          </cell>
          <cell r="K12">
            <v>0</v>
          </cell>
          <cell r="L12">
            <v>0</v>
          </cell>
          <cell r="M12">
            <v>247.635</v>
          </cell>
          <cell r="N12">
            <v>0.27984735598765553</v>
          </cell>
          <cell r="Q12">
            <v>158.501</v>
          </cell>
          <cell r="R12">
            <v>158.501</v>
          </cell>
          <cell r="S12">
            <v>0</v>
          </cell>
          <cell r="T12">
            <v>-2.842170943040401E-14</v>
          </cell>
          <cell r="U12">
            <v>148.79299999999998</v>
          </cell>
          <cell r="V12">
            <v>6.524500480533362</v>
          </cell>
        </row>
        <row r="13">
          <cell r="A13">
            <v>39207</v>
          </cell>
          <cell r="B13">
            <v>43.620595348837206</v>
          </cell>
          <cell r="C13">
            <v>43.586595348837214</v>
          </cell>
          <cell r="D13">
            <v>0.033999999999991815</v>
          </cell>
          <cell r="E13">
            <v>0.033999999999991815</v>
          </cell>
          <cell r="F13">
            <v>38.334525581395354</v>
          </cell>
          <cell r="G13">
            <v>13.78931834233343</v>
          </cell>
          <cell r="I13">
            <v>287.55500000000006</v>
          </cell>
          <cell r="J13">
            <v>287.555</v>
          </cell>
          <cell r="K13">
            <v>5.684341886080802E-14</v>
          </cell>
          <cell r="L13">
            <v>5.684341886080802E-14</v>
          </cell>
          <cell r="M13">
            <v>230.301</v>
          </cell>
          <cell r="N13">
            <v>24.860508638694625</v>
          </cell>
          <cell r="Q13">
            <v>167.653</v>
          </cell>
          <cell r="R13">
            <v>167.653</v>
          </cell>
          <cell r="S13">
            <v>0</v>
          </cell>
          <cell r="T13">
            <v>-2.842170943040401E-14</v>
          </cell>
          <cell r="U13">
            <v>144.06399999999996</v>
          </cell>
          <cell r="V13">
            <v>16.37397267880945</v>
          </cell>
        </row>
        <row r="14">
          <cell r="A14" t="str">
            <v>APR</v>
          </cell>
          <cell r="B14">
            <v>200.06861395348838</v>
          </cell>
          <cell r="C14">
            <v>200.0346139534884</v>
          </cell>
          <cell r="F14">
            <v>188.97252558139536</v>
          </cell>
          <cell r="G14">
            <v>5.871799796269144</v>
          </cell>
          <cell r="I14">
            <v>1294.593</v>
          </cell>
          <cell r="J14">
            <v>1294.593</v>
          </cell>
          <cell r="M14">
            <v>1204.737</v>
          </cell>
          <cell r="N14">
            <v>7.458557344881072</v>
          </cell>
          <cell r="Q14">
            <v>766.72</v>
          </cell>
          <cell r="R14">
            <v>766.72</v>
          </cell>
          <cell r="U14">
            <v>702.9929999999999</v>
          </cell>
          <cell r="V14">
            <v>9.065097376503047</v>
          </cell>
        </row>
        <row r="15">
          <cell r="A15">
            <v>39214</v>
          </cell>
          <cell r="B15">
            <v>37.14813023255814</v>
          </cell>
          <cell r="C15">
            <v>37.14813023255814</v>
          </cell>
          <cell r="D15">
            <v>0</v>
          </cell>
          <cell r="E15">
            <v>0.033999999999991815</v>
          </cell>
          <cell r="F15">
            <v>43.236748837209305</v>
          </cell>
          <cell r="G15">
            <v>-14.08204540904643</v>
          </cell>
          <cell r="I15">
            <v>232.713</v>
          </cell>
          <cell r="J15">
            <v>232.713</v>
          </cell>
          <cell r="K15">
            <v>0</v>
          </cell>
          <cell r="L15">
            <v>5.684341886080802E-14</v>
          </cell>
          <cell r="M15">
            <v>236.04999999999995</v>
          </cell>
          <cell r="N15">
            <v>-1.4136835416225182</v>
          </cell>
          <cell r="Q15">
            <v>141.493</v>
          </cell>
          <cell r="R15">
            <v>141.493</v>
          </cell>
          <cell r="S15">
            <v>0</v>
          </cell>
          <cell r="T15">
            <v>-2.842170943040401E-14</v>
          </cell>
          <cell r="U15">
            <v>153.69500000000002</v>
          </cell>
          <cell r="V15">
            <v>-7.9391001659130325</v>
          </cell>
        </row>
        <row r="16">
          <cell r="A16">
            <v>39221</v>
          </cell>
          <cell r="B16">
            <v>42.11372558139535</v>
          </cell>
          <cell r="C16">
            <v>42.11272558139535</v>
          </cell>
          <cell r="D16">
            <v>0.0009999999999976694</v>
          </cell>
          <cell r="E16">
            <v>0.034999999999989484</v>
          </cell>
          <cell r="F16">
            <v>42.7068511627907</v>
          </cell>
          <cell r="G16">
            <v>-1.3888300477468078</v>
          </cell>
          <cell r="I16">
            <v>249.895</v>
          </cell>
          <cell r="J16">
            <v>249.895</v>
          </cell>
          <cell r="K16">
            <v>0</v>
          </cell>
          <cell r="L16">
            <v>5.684341886080802E-14</v>
          </cell>
          <cell r="M16">
            <v>217.93800000000002</v>
          </cell>
          <cell r="N16">
            <v>14.663344620947228</v>
          </cell>
          <cell r="Q16">
            <v>154.655</v>
          </cell>
          <cell r="R16">
            <v>154.655</v>
          </cell>
          <cell r="S16">
            <v>0</v>
          </cell>
          <cell r="T16">
            <v>-2.842170943040401E-14</v>
          </cell>
          <cell r="U16">
            <v>149.386</v>
          </cell>
          <cell r="V16">
            <v>3.5271042801869044</v>
          </cell>
        </row>
        <row r="17">
          <cell r="A17">
            <v>39228</v>
          </cell>
          <cell r="B17">
            <v>40.39831627906977</v>
          </cell>
          <cell r="C17">
            <v>40.39831627906977</v>
          </cell>
          <cell r="D17">
            <v>0</v>
          </cell>
          <cell r="E17">
            <v>0.034999999999989484</v>
          </cell>
          <cell r="F17">
            <v>42.47506511627907</v>
          </cell>
          <cell r="G17">
            <v>-4.889336441330997</v>
          </cell>
          <cell r="I17">
            <v>258.75100000000003</v>
          </cell>
          <cell r="J17">
            <v>258.75100000000003</v>
          </cell>
          <cell r="K17">
            <v>0</v>
          </cell>
          <cell r="L17">
            <v>5.684341886080802E-14</v>
          </cell>
          <cell r="M17">
            <v>212.39300000000003</v>
          </cell>
          <cell r="N17">
            <v>21.826519706393327</v>
          </cell>
          <cell r="Q17">
            <v>155.831</v>
          </cell>
          <cell r="R17">
            <v>155.831</v>
          </cell>
          <cell r="S17">
            <v>0</v>
          </cell>
          <cell r="T17">
            <v>-2.842170943040401E-14</v>
          </cell>
          <cell r="U17">
            <v>151.326</v>
          </cell>
          <cell r="V17">
            <v>2.9770165074078534</v>
          </cell>
        </row>
        <row r="18">
          <cell r="A18">
            <v>39235</v>
          </cell>
          <cell r="B18">
            <v>38.62512558139535</v>
          </cell>
          <cell r="C18">
            <v>38.62512558139535</v>
          </cell>
          <cell r="D18">
            <v>0</v>
          </cell>
          <cell r="E18">
            <v>0.034999999999989484</v>
          </cell>
          <cell r="F18">
            <v>38.58352093023256</v>
          </cell>
          <cell r="G18">
            <v>0.10783010508042423</v>
          </cell>
          <cell r="I18">
            <v>257.317</v>
          </cell>
          <cell r="J18">
            <v>257.317</v>
          </cell>
          <cell r="K18">
            <v>0</v>
          </cell>
          <cell r="L18">
            <v>5.684341886080802E-14</v>
          </cell>
          <cell r="M18">
            <v>223.45600000000002</v>
          </cell>
          <cell r="N18">
            <v>15.15331877416584</v>
          </cell>
          <cell r="Q18">
            <v>147.812</v>
          </cell>
          <cell r="R18">
            <v>148.26300000000003</v>
          </cell>
          <cell r="S18">
            <v>-0.45100000000002183</v>
          </cell>
          <cell r="T18">
            <v>-0.45100000000005025</v>
          </cell>
          <cell r="U18">
            <v>139.933</v>
          </cell>
          <cell r="V18">
            <v>5.630551764058538</v>
          </cell>
        </row>
        <row r="19">
          <cell r="A19" t="str">
            <v>MAY</v>
          </cell>
          <cell r="B19">
            <v>158.2852976744186</v>
          </cell>
          <cell r="C19">
            <v>158.2842976744186</v>
          </cell>
          <cell r="F19">
            <v>167.00218604651164</v>
          </cell>
          <cell r="G19">
            <v>-5.219625310572468</v>
          </cell>
          <cell r="I19">
            <v>998.676</v>
          </cell>
          <cell r="J19">
            <v>998.676</v>
          </cell>
          <cell r="M19">
            <v>889.837</v>
          </cell>
          <cell r="N19">
            <v>12.231341245643861</v>
          </cell>
          <cell r="Q19">
            <v>599.791</v>
          </cell>
          <cell r="R19">
            <v>600.2420000000001</v>
          </cell>
          <cell r="U19">
            <v>594.34</v>
          </cell>
          <cell r="V19">
            <v>0.9171517986337818</v>
          </cell>
        </row>
        <row r="20">
          <cell r="A20">
            <v>39242</v>
          </cell>
          <cell r="B20">
            <v>41.06116279069768</v>
          </cell>
          <cell r="C20">
            <v>41.06116279069768</v>
          </cell>
          <cell r="D20">
            <v>0</v>
          </cell>
          <cell r="E20">
            <v>0.034999999999989484</v>
          </cell>
          <cell r="F20">
            <v>39.319925581395346</v>
          </cell>
          <cell r="G20">
            <v>4.428383786479543</v>
          </cell>
          <cell r="I20">
            <v>263.104</v>
          </cell>
          <cell r="J20">
            <v>262.07099999999997</v>
          </cell>
          <cell r="K20">
            <v>1.0330000000000155</v>
          </cell>
          <cell r="L20">
            <v>1.0330000000000723</v>
          </cell>
          <cell r="M20">
            <v>238.088</v>
          </cell>
          <cell r="N20">
            <v>10.507039413998172</v>
          </cell>
          <cell r="Q20">
            <v>153.378</v>
          </cell>
          <cell r="R20">
            <v>154.41099999999997</v>
          </cell>
          <cell r="S20">
            <v>-1.032999999999987</v>
          </cell>
          <cell r="T20">
            <v>-1.4840000000000373</v>
          </cell>
          <cell r="U20">
            <v>146.455</v>
          </cell>
          <cell r="V20">
            <v>4.727049264279117</v>
          </cell>
        </row>
        <row r="21">
          <cell r="A21">
            <v>39249</v>
          </cell>
          <cell r="B21">
            <v>40.83938139534884</v>
          </cell>
          <cell r="C21">
            <v>40.83938139534884</v>
          </cell>
          <cell r="D21">
            <v>0</v>
          </cell>
          <cell r="E21">
            <v>0.034999999999989484</v>
          </cell>
          <cell r="F21">
            <v>39.9921488372093</v>
          </cell>
          <cell r="G21">
            <v>2.1184972120109222</v>
          </cell>
          <cell r="I21">
            <v>263.635</v>
          </cell>
          <cell r="J21">
            <v>263.635</v>
          </cell>
          <cell r="K21">
            <v>0</v>
          </cell>
          <cell r="L21">
            <v>1.0330000000000723</v>
          </cell>
          <cell r="M21">
            <v>241.473</v>
          </cell>
          <cell r="N21">
            <v>9.17783768785742</v>
          </cell>
          <cell r="Q21">
            <v>155.09199999999996</v>
          </cell>
          <cell r="R21">
            <v>155.09199999999996</v>
          </cell>
          <cell r="S21">
            <v>0</v>
          </cell>
          <cell r="T21">
            <v>-1.4840000000000373</v>
          </cell>
          <cell r="U21">
            <v>148.489</v>
          </cell>
          <cell r="V21">
            <v>4.446794038615636</v>
          </cell>
        </row>
        <row r="22">
          <cell r="A22">
            <v>39256</v>
          </cell>
          <cell r="B22">
            <v>41.62411627906977</v>
          </cell>
          <cell r="C22">
            <v>41.634116279069765</v>
          </cell>
          <cell r="D22">
            <v>-0.00999999999999801</v>
          </cell>
          <cell r="E22">
            <v>0.024999999999991473</v>
          </cell>
          <cell r="F22">
            <v>40.66556279069768</v>
          </cell>
          <cell r="G22">
            <v>2.357162725881068</v>
          </cell>
          <cell r="I22">
            <v>261.28299999999996</v>
          </cell>
          <cell r="J22">
            <v>261.24399999999997</v>
          </cell>
          <cell r="K22">
            <v>0.03899999999998727</v>
          </cell>
          <cell r="L22">
            <v>1.0720000000000596</v>
          </cell>
          <cell r="M22">
            <v>241.44</v>
          </cell>
          <cell r="N22">
            <v>8.218605036447954</v>
          </cell>
          <cell r="Q22">
            <v>154.16299999999998</v>
          </cell>
          <cell r="R22">
            <v>154.19899999999998</v>
          </cell>
          <cell r="S22">
            <v>-0.036000000000001364</v>
          </cell>
          <cell r="T22">
            <v>-1.5200000000000387</v>
          </cell>
          <cell r="U22">
            <v>148.097</v>
          </cell>
          <cell r="V22">
            <v>4.095964131616412</v>
          </cell>
        </row>
        <row r="23">
          <cell r="A23">
            <v>39263</v>
          </cell>
          <cell r="B23">
            <v>44.54228372093023</v>
          </cell>
          <cell r="C23">
            <v>44.31528372093024</v>
          </cell>
          <cell r="D23">
            <v>0.22699999999998965</v>
          </cell>
          <cell r="E23">
            <v>0.25199999999998113</v>
          </cell>
          <cell r="F23">
            <v>43.941502325581396</v>
          </cell>
          <cell r="G23">
            <v>1.3672299843036484</v>
          </cell>
          <cell r="I23">
            <v>292.16999999999996</v>
          </cell>
          <cell r="J23">
            <v>291.44100000000003</v>
          </cell>
          <cell r="K23">
            <v>0.7289999999999281</v>
          </cell>
          <cell r="L23">
            <v>1.8009999999999877</v>
          </cell>
          <cell r="M23">
            <v>289.612</v>
          </cell>
          <cell r="N23">
            <v>0.883250694031986</v>
          </cell>
          <cell r="Q23">
            <v>163.185</v>
          </cell>
          <cell r="R23">
            <v>162.797</v>
          </cell>
          <cell r="S23">
            <v>0.38800000000000523</v>
          </cell>
          <cell r="T23">
            <v>-1.1320000000000334</v>
          </cell>
          <cell r="U23">
            <v>156.30499999999998</v>
          </cell>
          <cell r="V23">
            <v>4.401650618982146</v>
          </cell>
        </row>
        <row r="24">
          <cell r="A24" t="str">
            <v>JUN</v>
          </cell>
          <cell r="B24">
            <v>168.0669441860465</v>
          </cell>
          <cell r="C24">
            <v>167.8499441860465</v>
          </cell>
          <cell r="F24">
            <v>163.91913953488373</v>
          </cell>
          <cell r="G24">
            <v>2.5303967937679914</v>
          </cell>
          <cell r="I24">
            <v>1080.192</v>
          </cell>
          <cell r="J24">
            <v>1078.3909999999998</v>
          </cell>
          <cell r="M24">
            <v>1010.613</v>
          </cell>
          <cell r="N24">
            <v>6.884831285566278</v>
          </cell>
          <cell r="Q24">
            <v>625.818</v>
          </cell>
          <cell r="R24">
            <v>626.4989999999999</v>
          </cell>
          <cell r="U24">
            <v>599.346</v>
          </cell>
          <cell r="V24">
            <v>4.4168143276170895</v>
          </cell>
        </row>
        <row r="25">
          <cell r="A25">
            <v>39270</v>
          </cell>
          <cell r="B25">
            <v>41.91702790697674</v>
          </cell>
          <cell r="C25">
            <v>41.91702790697674</v>
          </cell>
          <cell r="D25">
            <v>0</v>
          </cell>
          <cell r="E25">
            <v>0.25199999999998113</v>
          </cell>
          <cell r="F25">
            <v>39.12046511627907</v>
          </cell>
          <cell r="G25">
            <v>7.148592897311801</v>
          </cell>
          <cell r="I25">
            <v>292.87199999999996</v>
          </cell>
          <cell r="J25">
            <v>292.87199999999996</v>
          </cell>
          <cell r="K25">
            <v>0</v>
          </cell>
          <cell r="L25">
            <v>1.8009999999999877</v>
          </cell>
          <cell r="M25">
            <v>269.391</v>
          </cell>
          <cell r="N25">
            <v>8.71632682606321</v>
          </cell>
          <cell r="Q25">
            <v>149.77599999999998</v>
          </cell>
          <cell r="R25">
            <v>149.77599999999998</v>
          </cell>
          <cell r="S25">
            <v>0</v>
          </cell>
          <cell r="T25">
            <v>-1.1320000000000334</v>
          </cell>
          <cell r="U25">
            <v>146.043</v>
          </cell>
          <cell r="V25">
            <v>2.5560964921290292</v>
          </cell>
        </row>
        <row r="26">
          <cell r="A26">
            <v>39277</v>
          </cell>
          <cell r="B26">
            <v>40.13134418604651</v>
          </cell>
          <cell r="C26">
            <v>40.134627906976746</v>
          </cell>
          <cell r="D26">
            <v>-0.003283720930234324</v>
          </cell>
          <cell r="E26">
            <v>0.2487162790697468</v>
          </cell>
          <cell r="F26">
            <v>40.27860465116279</v>
          </cell>
          <cell r="G26">
            <v>-0.36560468365685495</v>
          </cell>
          <cell r="I26">
            <v>301.38599999999997</v>
          </cell>
          <cell r="J26">
            <v>301.389</v>
          </cell>
          <cell r="K26">
            <v>-0.0030000000000427463</v>
          </cell>
          <cell r="L26">
            <v>1.797999999999945</v>
          </cell>
          <cell r="M26">
            <v>287.575</v>
          </cell>
          <cell r="N26">
            <v>4.802573241763014</v>
          </cell>
          <cell r="Q26">
            <v>153.39899999999997</v>
          </cell>
          <cell r="R26">
            <v>153.39899999999997</v>
          </cell>
          <cell r="S26">
            <v>0</v>
          </cell>
          <cell r="T26">
            <v>-1.1320000000000334</v>
          </cell>
          <cell r="U26">
            <v>148.865</v>
          </cell>
          <cell r="V26">
            <v>3.0457125583582183</v>
          </cell>
        </row>
        <row r="27">
          <cell r="A27">
            <v>39284</v>
          </cell>
          <cell r="B27">
            <v>40.43258604651163</v>
          </cell>
          <cell r="C27">
            <v>40.43258604651163</v>
          </cell>
          <cell r="D27">
            <v>0</v>
          </cell>
          <cell r="E27">
            <v>0.2487162790697468</v>
          </cell>
          <cell r="F27">
            <v>39.20693023255814</v>
          </cell>
          <cell r="G27">
            <v>3.126120322819048</v>
          </cell>
          <cell r="I27">
            <v>300.912</v>
          </cell>
          <cell r="J27">
            <v>300.912</v>
          </cell>
          <cell r="K27">
            <v>0</v>
          </cell>
          <cell r="L27">
            <v>1.797999999999945</v>
          </cell>
          <cell r="M27">
            <v>280.877</v>
          </cell>
          <cell r="N27">
            <v>7.13301551924863</v>
          </cell>
          <cell r="Q27">
            <v>155.687</v>
          </cell>
          <cell r="R27">
            <v>155.687</v>
          </cell>
          <cell r="S27">
            <v>0</v>
          </cell>
          <cell r="T27">
            <v>-1.1320000000000334</v>
          </cell>
          <cell r="U27">
            <v>145.701</v>
          </cell>
          <cell r="V27">
            <v>6.853762156745674</v>
          </cell>
        </row>
        <row r="28">
          <cell r="A28">
            <v>39291</v>
          </cell>
          <cell r="B28">
            <v>40.8239488372093</v>
          </cell>
          <cell r="C28">
            <v>40.8239488372093</v>
          </cell>
          <cell r="D28">
            <v>0</v>
          </cell>
          <cell r="E28">
            <v>0.2487162790697468</v>
          </cell>
          <cell r="F28">
            <v>38.919344186046516</v>
          </cell>
          <cell r="G28">
            <v>4.893722366076332</v>
          </cell>
          <cell r="I28">
            <v>296.836</v>
          </cell>
          <cell r="J28">
            <v>296.836</v>
          </cell>
          <cell r="K28">
            <v>0</v>
          </cell>
          <cell r="L28">
            <v>1.797999999999945</v>
          </cell>
          <cell r="M28">
            <v>283.13800000000003</v>
          </cell>
          <cell r="N28">
            <v>4.837923556710848</v>
          </cell>
          <cell r="Q28">
            <v>154.869</v>
          </cell>
          <cell r="R28">
            <v>154.869</v>
          </cell>
          <cell r="S28">
            <v>0</v>
          </cell>
          <cell r="T28">
            <v>-1.1320000000000334</v>
          </cell>
          <cell r="U28">
            <v>145.49</v>
          </cell>
          <cell r="V28">
            <v>6.44649116777785</v>
          </cell>
        </row>
        <row r="29">
          <cell r="A29">
            <v>39298</v>
          </cell>
          <cell r="B29">
            <v>41.055646511627906</v>
          </cell>
          <cell r="C29">
            <v>41.055646511627906</v>
          </cell>
          <cell r="D29">
            <v>0</v>
          </cell>
          <cell r="E29">
            <v>0.2487162790697468</v>
          </cell>
          <cell r="F29">
            <v>40.20651627906977</v>
          </cell>
          <cell r="G29">
            <v>2.1119219249546575</v>
          </cell>
          <cell r="I29">
            <v>334.154</v>
          </cell>
          <cell r="J29">
            <v>334.134</v>
          </cell>
          <cell r="K29">
            <v>0.01999999999998181</v>
          </cell>
          <cell r="L29">
            <v>1.8179999999999268</v>
          </cell>
          <cell r="M29">
            <v>306.96099999999996</v>
          </cell>
          <cell r="N29">
            <v>8.85878010561602</v>
          </cell>
          <cell r="Q29">
            <v>164.669</v>
          </cell>
          <cell r="R29">
            <v>164.669</v>
          </cell>
          <cell r="S29">
            <v>0</v>
          </cell>
          <cell r="T29">
            <v>-1.1320000000000334</v>
          </cell>
          <cell r="U29">
            <v>155.72199999999998</v>
          </cell>
          <cell r="V29">
            <v>5.745495177303155</v>
          </cell>
        </row>
        <row r="30">
          <cell r="A30" t="str">
            <v>JUL</v>
          </cell>
          <cell r="B30">
            <v>204.3605534883721</v>
          </cell>
          <cell r="C30">
            <v>204.36383720930235</v>
          </cell>
          <cell r="F30">
            <v>197.73186046511628</v>
          </cell>
          <cell r="G30">
            <v>3.3523646657971113</v>
          </cell>
          <cell r="I30">
            <v>1526.1599999999999</v>
          </cell>
          <cell r="J30">
            <v>1526.143</v>
          </cell>
          <cell r="M30">
            <v>1427.9420000000002</v>
          </cell>
          <cell r="N30">
            <v>6.878290574827247</v>
          </cell>
          <cell r="Q30">
            <v>778.4</v>
          </cell>
          <cell r="R30">
            <v>778.4</v>
          </cell>
          <cell r="U30">
            <v>741.821</v>
          </cell>
          <cell r="V30">
            <v>4.930973914192236</v>
          </cell>
        </row>
        <row r="31">
          <cell r="A31">
            <v>39305</v>
          </cell>
          <cell r="B31">
            <v>21.280609302325583</v>
          </cell>
          <cell r="C31">
            <v>21.245609302325583</v>
          </cell>
          <cell r="D31">
            <v>0.03500000000000014</v>
          </cell>
          <cell r="E31">
            <v>0.28371627906974695</v>
          </cell>
          <cell r="F31">
            <v>37.83345581395349</v>
          </cell>
          <cell r="G31">
            <v>-43.751875570201</v>
          </cell>
          <cell r="I31">
            <v>147.877</v>
          </cell>
          <cell r="J31">
            <v>147.422</v>
          </cell>
          <cell r="K31">
            <v>0.4550000000000125</v>
          </cell>
          <cell r="L31">
            <v>2.2729999999999393</v>
          </cell>
          <cell r="M31">
            <v>309.381</v>
          </cell>
          <cell r="N31">
            <v>-52.20230072305668</v>
          </cell>
          <cell r="Q31">
            <v>76.91</v>
          </cell>
          <cell r="R31">
            <v>76.91</v>
          </cell>
          <cell r="S31">
            <v>0</v>
          </cell>
          <cell r="T31">
            <v>-1.1320000000000334</v>
          </cell>
          <cell r="U31">
            <v>148.46300000000002</v>
          </cell>
          <cell r="V31">
            <v>-48.195846776637964</v>
          </cell>
        </row>
        <row r="32">
          <cell r="A32">
            <v>39312</v>
          </cell>
          <cell r="B32">
            <v>38.067679069767436</v>
          </cell>
          <cell r="C32">
            <v>37.933679069767436</v>
          </cell>
          <cell r="D32">
            <v>0.13400000000000034</v>
          </cell>
          <cell r="E32">
            <v>0.4177162790697473</v>
          </cell>
          <cell r="F32">
            <v>38.66858604651163</v>
          </cell>
          <cell r="G32">
            <v>-1.5539926285936758</v>
          </cell>
          <cell r="I32">
            <v>237.177</v>
          </cell>
          <cell r="J32">
            <v>236.045</v>
          </cell>
          <cell r="K32">
            <v>1.132000000000005</v>
          </cell>
          <cell r="L32">
            <v>3.4049999999999443</v>
          </cell>
          <cell r="M32">
            <v>319.28200000000004</v>
          </cell>
          <cell r="N32">
            <v>-25.715511679330504</v>
          </cell>
          <cell r="Q32">
            <v>153.17000000000002</v>
          </cell>
          <cell r="R32">
            <v>153.621</v>
          </cell>
          <cell r="S32">
            <v>-0.4509999999999934</v>
          </cell>
          <cell r="T32">
            <v>-1.5830000000000268</v>
          </cell>
          <cell r="U32">
            <v>151.21099999999998</v>
          </cell>
          <cell r="V32">
            <v>1.2955406683376367</v>
          </cell>
        </row>
        <row r="33">
          <cell r="A33">
            <v>39319</v>
          </cell>
          <cell r="B33">
            <v>35.96239069767442</v>
          </cell>
          <cell r="C33">
            <v>35.95239069767442</v>
          </cell>
          <cell r="D33">
            <v>0.010000000000005116</v>
          </cell>
          <cell r="E33">
            <v>0.4277162790697524</v>
          </cell>
          <cell r="F33">
            <v>39.265804651162796</v>
          </cell>
          <cell r="G33">
            <v>-8.412953670084917</v>
          </cell>
          <cell r="I33">
            <v>250.795</v>
          </cell>
          <cell r="J33">
            <v>250.795</v>
          </cell>
          <cell r="K33">
            <v>0</v>
          </cell>
          <cell r="L33">
            <v>3.4049999999999443</v>
          </cell>
          <cell r="M33">
            <v>337.14500000000004</v>
          </cell>
          <cell r="N33">
            <v>-25.612125346660946</v>
          </cell>
          <cell r="Q33">
            <v>155.308</v>
          </cell>
          <cell r="R33">
            <v>155.308</v>
          </cell>
          <cell r="S33">
            <v>0</v>
          </cell>
          <cell r="T33">
            <v>-1.5830000000000268</v>
          </cell>
          <cell r="U33">
            <v>157.645</v>
          </cell>
          <cell r="V33">
            <v>-1.4824447334200386</v>
          </cell>
        </row>
        <row r="34">
          <cell r="A34">
            <v>39326</v>
          </cell>
          <cell r="B34">
            <v>36.747493023255814</v>
          </cell>
          <cell r="C34">
            <v>36.74249302325581</v>
          </cell>
          <cell r="D34">
            <v>0.005000000000002558</v>
          </cell>
          <cell r="E34">
            <v>0.43271627906975496</v>
          </cell>
          <cell r="F34">
            <v>39.19921395348837</v>
          </cell>
          <cell r="G34">
            <v>-6.254515544984216</v>
          </cell>
          <cell r="I34">
            <v>328.96500000000003</v>
          </cell>
          <cell r="J34">
            <v>328.947</v>
          </cell>
          <cell r="K34">
            <v>0.018000000000029104</v>
          </cell>
          <cell r="L34">
            <v>3.4229999999999734</v>
          </cell>
          <cell r="M34">
            <v>325.90600000000006</v>
          </cell>
          <cell r="N34">
            <v>0.9386142016409593</v>
          </cell>
          <cell r="Q34">
            <v>157.88199999999998</v>
          </cell>
          <cell r="R34">
            <v>157.86599999999999</v>
          </cell>
          <cell r="S34">
            <v>0.015999999999991132</v>
          </cell>
          <cell r="T34">
            <v>-1.5670000000000357</v>
          </cell>
          <cell r="U34">
            <v>149.453</v>
          </cell>
          <cell r="V34">
            <v>5.639900169283976</v>
          </cell>
        </row>
        <row r="35">
          <cell r="A35" t="str">
            <v>AUG</v>
          </cell>
          <cell r="B35">
            <v>132.05817209302324</v>
          </cell>
          <cell r="C35">
            <v>131.87417209302325</v>
          </cell>
          <cell r="F35">
            <v>154.96706046511628</v>
          </cell>
          <cell r="G35">
            <v>-14.783069578357214</v>
          </cell>
          <cell r="I35">
            <v>964.814</v>
          </cell>
          <cell r="J35">
            <v>963.209</v>
          </cell>
          <cell r="M35">
            <v>1291.714</v>
          </cell>
          <cell r="N35">
            <v>-25.3074597008316</v>
          </cell>
          <cell r="Q35">
            <v>543.27</v>
          </cell>
          <cell r="R35">
            <v>543.705</v>
          </cell>
          <cell r="U35">
            <v>606.7719999999999</v>
          </cell>
          <cell r="V35">
            <v>-10.465545542642047</v>
          </cell>
        </row>
        <row r="36">
          <cell r="A36">
            <v>39333</v>
          </cell>
          <cell r="B36">
            <v>39.035972093023254</v>
          </cell>
          <cell r="C36">
            <v>39.041972093023254</v>
          </cell>
          <cell r="D36">
            <v>-0.006000000000000227</v>
          </cell>
          <cell r="E36">
            <v>0.42671627906975473</v>
          </cell>
          <cell r="F36">
            <v>43.12202325581396</v>
          </cell>
          <cell r="G36">
            <v>-9.475555306277982</v>
          </cell>
          <cell r="I36">
            <v>348.052</v>
          </cell>
          <cell r="J36">
            <v>340.045</v>
          </cell>
          <cell r="K36">
            <v>8.007000000000005</v>
          </cell>
          <cell r="L36">
            <v>11.429999999999978</v>
          </cell>
          <cell r="M36">
            <v>339.15500000000003</v>
          </cell>
          <cell r="N36">
            <v>2.623284339019037</v>
          </cell>
          <cell r="Q36">
            <v>164.79699999999997</v>
          </cell>
          <cell r="R36">
            <v>164.79699999999997</v>
          </cell>
          <cell r="S36">
            <v>0</v>
          </cell>
          <cell r="T36">
            <v>-1.5670000000000357</v>
          </cell>
          <cell r="U36">
            <v>160.465</v>
          </cell>
          <cell r="V36">
            <v>2.6996541301841432</v>
          </cell>
        </row>
        <row r="37">
          <cell r="A37">
            <v>39340</v>
          </cell>
          <cell r="B37">
            <v>36.08619069767442</v>
          </cell>
          <cell r="C37">
            <v>36.08619069767442</v>
          </cell>
          <cell r="D37">
            <v>0</v>
          </cell>
          <cell r="E37">
            <v>0.42671627906975473</v>
          </cell>
          <cell r="F37">
            <v>43.34836744186046</v>
          </cell>
          <cell r="G37">
            <v>-16.753057087850408</v>
          </cell>
          <cell r="I37">
            <v>331.506</v>
          </cell>
          <cell r="J37">
            <v>331.51599999999996</v>
          </cell>
          <cell r="K37">
            <v>-0.009999999999990905</v>
          </cell>
          <cell r="L37">
            <v>11.419999999999987</v>
          </cell>
          <cell r="M37">
            <v>337.954</v>
          </cell>
          <cell r="N37">
            <v>-1.9079519697947234</v>
          </cell>
          <cell r="Q37">
            <v>134.913</v>
          </cell>
          <cell r="R37">
            <v>134.913</v>
          </cell>
          <cell r="S37">
            <v>0</v>
          </cell>
          <cell r="T37">
            <v>-1.5670000000000357</v>
          </cell>
          <cell r="U37">
            <v>157.935</v>
          </cell>
          <cell r="V37">
            <v>-14.57688289486181</v>
          </cell>
        </row>
        <row r="38">
          <cell r="A38">
            <v>39347</v>
          </cell>
          <cell r="B38">
            <v>39.89664186046512</v>
          </cell>
          <cell r="C38">
            <v>39.86164186046511</v>
          </cell>
          <cell r="D38">
            <v>0.035000000000003695</v>
          </cell>
          <cell r="E38">
            <v>0.46171627906975843</v>
          </cell>
          <cell r="F38">
            <v>42.93747906976744</v>
          </cell>
          <cell r="G38">
            <v>-7.082011508783239</v>
          </cell>
          <cell r="I38">
            <v>252.81799999999998</v>
          </cell>
          <cell r="J38">
            <v>252.81799999999998</v>
          </cell>
          <cell r="K38">
            <v>0</v>
          </cell>
          <cell r="L38">
            <v>11.419999999999987</v>
          </cell>
          <cell r="M38">
            <v>350.854</v>
          </cell>
          <cell r="N38">
            <v>-27.942106973270924</v>
          </cell>
          <cell r="Q38">
            <v>164.744</v>
          </cell>
          <cell r="R38">
            <v>164.744</v>
          </cell>
          <cell r="S38">
            <v>0</v>
          </cell>
          <cell r="T38">
            <v>-1.5670000000000357</v>
          </cell>
          <cell r="U38">
            <v>157.068</v>
          </cell>
          <cell r="V38">
            <v>4.887055288155452</v>
          </cell>
        </row>
        <row r="39">
          <cell r="A39">
            <v>39354</v>
          </cell>
          <cell r="B39">
            <v>41.14866511627907</v>
          </cell>
          <cell r="C39">
            <v>41.14866511627907</v>
          </cell>
          <cell r="D39">
            <v>0</v>
          </cell>
          <cell r="E39">
            <v>0.46171627906975843</v>
          </cell>
          <cell r="F39">
            <v>47.32249767441861</v>
          </cell>
          <cell r="G39">
            <v>-13.046294810167979</v>
          </cell>
          <cell r="I39">
            <v>272.062</v>
          </cell>
          <cell r="J39">
            <v>272.062</v>
          </cell>
          <cell r="K39">
            <v>0</v>
          </cell>
          <cell r="L39">
            <v>11.419999999999987</v>
          </cell>
          <cell r="M39">
            <v>383.054</v>
          </cell>
          <cell r="N39">
            <v>-28.975549139285846</v>
          </cell>
          <cell r="Q39">
            <v>161.842</v>
          </cell>
          <cell r="R39">
            <v>161.842</v>
          </cell>
          <cell r="S39">
            <v>0</v>
          </cell>
          <cell r="T39">
            <v>-1.5670000000000357</v>
          </cell>
          <cell r="U39">
            <v>169.256</v>
          </cell>
          <cell r="V39">
            <v>-4.380346930094049</v>
          </cell>
        </row>
        <row r="40">
          <cell r="A40" t="str">
            <v>SEP</v>
          </cell>
          <cell r="B40">
            <v>156.16746976744184</v>
          </cell>
          <cell r="C40">
            <v>156.13846976744185</v>
          </cell>
          <cell r="F40">
            <v>176.73036744186047</v>
          </cell>
          <cell r="G40">
            <v>-11.635180740052078</v>
          </cell>
          <cell r="I40">
            <v>1204.438</v>
          </cell>
          <cell r="J40">
            <v>1196.4409999999998</v>
          </cell>
          <cell r="M40">
            <v>1411.0169999999998</v>
          </cell>
          <cell r="N40">
            <v>-14.640433106050438</v>
          </cell>
          <cell r="Q40">
            <v>626.2959999999999</v>
          </cell>
          <cell r="R40">
            <v>626.2959999999999</v>
          </cell>
          <cell r="U40">
            <v>644.7239999999999</v>
          </cell>
          <cell r="V40">
            <v>-2.8582773403813064</v>
          </cell>
        </row>
        <row r="41">
          <cell r="A41">
            <v>39361</v>
          </cell>
          <cell r="B41">
            <v>43.78156744186047</v>
          </cell>
          <cell r="C41">
            <v>42.47885581395349</v>
          </cell>
          <cell r="D41">
            <v>1.3027116279069801</v>
          </cell>
          <cell r="E41">
            <v>1.7644279069767386</v>
          </cell>
          <cell r="F41">
            <v>43.662604651162795</v>
          </cell>
          <cell r="G41">
            <v>0.2724592168701605</v>
          </cell>
          <cell r="I41">
            <v>316.19800000000004</v>
          </cell>
          <cell r="J41">
            <v>307.778</v>
          </cell>
          <cell r="K41">
            <v>8.420000000000016</v>
          </cell>
          <cell r="L41">
            <v>19.840000000000003</v>
          </cell>
          <cell r="M41">
            <v>333.651</v>
          </cell>
          <cell r="N41">
            <v>-5.230914938064018</v>
          </cell>
          <cell r="Q41">
            <v>173.106</v>
          </cell>
          <cell r="R41">
            <v>170.72199999999998</v>
          </cell>
          <cell r="S41">
            <v>2.3840000000000146</v>
          </cell>
          <cell r="T41">
            <v>0.8169999999999789</v>
          </cell>
          <cell r="U41">
            <v>158.94299999999998</v>
          </cell>
          <cell r="V41">
            <v>8.91074158660652</v>
          </cell>
        </row>
        <row r="42">
          <cell r="A42">
            <v>39368</v>
          </cell>
          <cell r="B42">
            <v>39.87835813953488</v>
          </cell>
          <cell r="C42">
            <v>39.87835813953488</v>
          </cell>
          <cell r="D42">
            <v>0</v>
          </cell>
          <cell r="E42">
            <v>1.7644279069767386</v>
          </cell>
          <cell r="F42">
            <v>43.30029767441861</v>
          </cell>
          <cell r="G42">
            <v>-7.902808337748155</v>
          </cell>
          <cell r="I42">
            <v>301.872</v>
          </cell>
          <cell r="J42">
            <v>301.872</v>
          </cell>
          <cell r="K42">
            <v>0</v>
          </cell>
          <cell r="L42">
            <v>19.840000000000003</v>
          </cell>
          <cell r="M42">
            <v>355.03799999999995</v>
          </cell>
          <cell r="N42">
            <v>-14.97473509877814</v>
          </cell>
          <cell r="Q42">
            <v>164.493</v>
          </cell>
          <cell r="R42">
            <v>164.493</v>
          </cell>
          <cell r="S42">
            <v>0</v>
          </cell>
          <cell r="T42">
            <v>0.8169999999999789</v>
          </cell>
          <cell r="U42">
            <v>160.65800000000002</v>
          </cell>
          <cell r="V42">
            <v>2.3870582230576645</v>
          </cell>
        </row>
        <row r="43">
          <cell r="A43">
            <v>39375</v>
          </cell>
          <cell r="B43">
            <v>40.52738604651163</v>
          </cell>
          <cell r="C43">
            <v>40.52138604651163</v>
          </cell>
          <cell r="D43">
            <v>0.006000000000000227</v>
          </cell>
          <cell r="E43">
            <v>1.7704279069767388</v>
          </cell>
          <cell r="F43">
            <v>43.017358139534885</v>
          </cell>
          <cell r="G43">
            <v>-5.7882961685991035</v>
          </cell>
          <cell r="I43">
            <v>315.62499999999994</v>
          </cell>
          <cell r="J43">
            <v>315.561</v>
          </cell>
          <cell r="K43">
            <v>0.06399999999996453</v>
          </cell>
          <cell r="L43">
            <v>19.903999999999968</v>
          </cell>
          <cell r="M43">
            <v>363.773</v>
          </cell>
          <cell r="N43">
            <v>-13.235726675701628</v>
          </cell>
          <cell r="Q43">
            <v>164.464</v>
          </cell>
          <cell r="R43">
            <v>164.464</v>
          </cell>
          <cell r="S43">
            <v>0</v>
          </cell>
          <cell r="T43">
            <v>0.8169999999999789</v>
          </cell>
          <cell r="U43">
            <v>160.953</v>
          </cell>
          <cell r="V43">
            <v>2.181382142613046</v>
          </cell>
        </row>
        <row r="44">
          <cell r="A44">
            <v>39382</v>
          </cell>
          <cell r="B44">
            <v>41.27241395348837</v>
          </cell>
          <cell r="C44">
            <v>41.48141395348837</v>
          </cell>
          <cell r="D44">
            <v>-0.20900000000000318</v>
          </cell>
          <cell r="E44">
            <v>1.5614279069767356</v>
          </cell>
          <cell r="F44">
            <v>44.15722790697675</v>
          </cell>
          <cell r="G44">
            <v>-6.5330503979227075</v>
          </cell>
          <cell r="I44">
            <v>317.06300000000005</v>
          </cell>
          <cell r="J44">
            <v>315.09200000000004</v>
          </cell>
          <cell r="K44">
            <v>1.9710000000000036</v>
          </cell>
          <cell r="L44">
            <v>21.87499999999997</v>
          </cell>
          <cell r="M44">
            <v>311.878</v>
          </cell>
          <cell r="N44">
            <v>1.6625090580291157</v>
          </cell>
          <cell r="Q44">
            <v>165.757</v>
          </cell>
          <cell r="R44">
            <v>165.757</v>
          </cell>
          <cell r="S44">
            <v>0</v>
          </cell>
          <cell r="T44">
            <v>0.8169999999999789</v>
          </cell>
          <cell r="U44">
            <v>159.522</v>
          </cell>
          <cell r="V44">
            <v>3.9085517984980243</v>
          </cell>
        </row>
        <row r="45">
          <cell r="A45">
            <v>39389</v>
          </cell>
          <cell r="B45">
            <v>46.0417023255814</v>
          </cell>
          <cell r="C45">
            <v>44.951702325581394</v>
          </cell>
          <cell r="D45">
            <v>1.0900000000000034</v>
          </cell>
          <cell r="E45">
            <v>2.651427906976739</v>
          </cell>
          <cell r="F45">
            <v>49.38850232558139</v>
          </cell>
          <cell r="G45">
            <v>-6.7764759861253765</v>
          </cell>
          <cell r="I45">
            <v>362.754</v>
          </cell>
          <cell r="J45">
            <v>347.36100000000005</v>
          </cell>
          <cell r="K45">
            <v>15.392999999999972</v>
          </cell>
          <cell r="L45">
            <v>37.267999999999944</v>
          </cell>
          <cell r="M45">
            <v>345.389</v>
          </cell>
          <cell r="N45">
            <v>5.027664459493494</v>
          </cell>
          <cell r="Q45">
            <v>179.941</v>
          </cell>
          <cell r="R45">
            <v>178.017</v>
          </cell>
          <cell r="S45">
            <v>1.9240000000000066</v>
          </cell>
          <cell r="T45">
            <v>2.7409999999999854</v>
          </cell>
          <cell r="U45">
            <v>169.769</v>
          </cell>
          <cell r="V45">
            <v>5.991671035348034</v>
          </cell>
        </row>
        <row r="46">
          <cell r="A46" t="str">
            <v>OCT</v>
          </cell>
          <cell r="B46">
            <v>211.50142790697674</v>
          </cell>
          <cell r="C46">
            <v>209.31171627906974</v>
          </cell>
          <cell r="F46">
            <v>223.52599069767442</v>
          </cell>
          <cell r="G46">
            <v>-5.379492001429597</v>
          </cell>
          <cell r="I46">
            <v>1613.5120000000002</v>
          </cell>
          <cell r="J46">
            <v>1587.6640000000002</v>
          </cell>
          <cell r="M46">
            <v>1709.7289999999998</v>
          </cell>
          <cell r="N46">
            <v>-5.627617008309485</v>
          </cell>
          <cell r="Q46">
            <v>847.761</v>
          </cell>
          <cell r="R46">
            <v>843.453</v>
          </cell>
          <cell r="U46">
            <v>809.845</v>
          </cell>
          <cell r="V46">
            <v>4.681883570312834</v>
          </cell>
        </row>
        <row r="47">
          <cell r="A47">
            <v>39396</v>
          </cell>
          <cell r="B47">
            <v>43.12278139534884</v>
          </cell>
          <cell r="C47">
            <v>43.11378139534884</v>
          </cell>
          <cell r="D47">
            <v>0.009000000000000341</v>
          </cell>
          <cell r="E47">
            <v>2.6604279069767394</v>
          </cell>
          <cell r="F47">
            <v>45.79146976744187</v>
          </cell>
          <cell r="G47">
            <v>-5.827915953880321</v>
          </cell>
          <cell r="I47">
            <v>357.24699999999996</v>
          </cell>
          <cell r="J47">
            <v>357.148</v>
          </cell>
          <cell r="K47">
            <v>0.0989999999999327</v>
          </cell>
          <cell r="L47">
            <v>37.36699999999988</v>
          </cell>
          <cell r="M47">
            <v>333.12999999999994</v>
          </cell>
          <cell r="N47">
            <v>7.2395161048239345</v>
          </cell>
          <cell r="Q47">
            <v>175.267</v>
          </cell>
          <cell r="R47">
            <v>175.267</v>
          </cell>
          <cell r="S47">
            <v>0</v>
          </cell>
          <cell r="T47">
            <v>2.7409999999999854</v>
          </cell>
          <cell r="U47">
            <v>161.35899999999998</v>
          </cell>
          <cell r="V47">
            <v>8.619289906357878</v>
          </cell>
        </row>
        <row r="48">
          <cell r="A48">
            <v>39403</v>
          </cell>
          <cell r="B48">
            <v>43.892576744186044</v>
          </cell>
          <cell r="C48">
            <v>43.852576744186045</v>
          </cell>
          <cell r="D48">
            <v>0.03999999999999915</v>
          </cell>
          <cell r="E48">
            <v>2.7004279069767385</v>
          </cell>
          <cell r="F48">
            <v>48.174641860465115</v>
          </cell>
          <cell r="G48">
            <v>-8.888628853083773</v>
          </cell>
          <cell r="I48">
            <v>347.614</v>
          </cell>
          <cell r="J48">
            <v>347.432</v>
          </cell>
          <cell r="K48">
            <v>0.18199999999995953</v>
          </cell>
          <cell r="L48">
            <v>37.548999999999836</v>
          </cell>
          <cell r="M48">
            <v>327.13899999999995</v>
          </cell>
          <cell r="N48">
            <v>6.258807418253426</v>
          </cell>
          <cell r="Q48">
            <v>177.899</v>
          </cell>
          <cell r="R48">
            <v>177.70100000000002</v>
          </cell>
          <cell r="S48">
            <v>0.19799999999997908</v>
          </cell>
          <cell r="T48">
            <v>2.9389999999999645</v>
          </cell>
          <cell r="U48">
            <v>163.11800000000002</v>
          </cell>
          <cell r="V48">
            <v>9.061538272906716</v>
          </cell>
        </row>
        <row r="49">
          <cell r="A49">
            <v>39410</v>
          </cell>
          <cell r="B49">
            <v>46.10361860465116</v>
          </cell>
          <cell r="C49">
            <v>46.10361860465116</v>
          </cell>
          <cell r="D49">
            <v>0</v>
          </cell>
          <cell r="E49">
            <v>2.7004279069767385</v>
          </cell>
          <cell r="F49">
            <v>49.53015348837209</v>
          </cell>
          <cell r="G49">
            <v>-6.918078468150441</v>
          </cell>
          <cell r="I49">
            <v>347.46999999999997</v>
          </cell>
          <cell r="J49">
            <v>347.187</v>
          </cell>
          <cell r="K49">
            <v>0.2829999999999586</v>
          </cell>
          <cell r="L49">
            <v>37.831999999999795</v>
          </cell>
          <cell r="M49">
            <v>314.977</v>
          </cell>
          <cell r="N49">
            <v>10.315991326350812</v>
          </cell>
          <cell r="Q49">
            <v>176.344</v>
          </cell>
          <cell r="R49">
            <v>176.312</v>
          </cell>
          <cell r="S49">
            <v>0.031999999999982265</v>
          </cell>
          <cell r="T49">
            <v>2.970999999999947</v>
          </cell>
          <cell r="U49">
            <v>165.122</v>
          </cell>
          <cell r="V49">
            <v>6.796187061687718</v>
          </cell>
        </row>
        <row r="50">
          <cell r="A50">
            <v>39417</v>
          </cell>
          <cell r="B50">
            <v>50.419399999999996</v>
          </cell>
          <cell r="C50">
            <v>49.01320465116279</v>
          </cell>
          <cell r="D50">
            <v>1.4061953488372083</v>
          </cell>
          <cell r="E50">
            <v>4.106623255813947</v>
          </cell>
          <cell r="F50">
            <v>51.86298604651162</v>
          </cell>
          <cell r="G50">
            <v>-2.7834611088860157</v>
          </cell>
          <cell r="I50">
            <v>379.099</v>
          </cell>
          <cell r="J50">
            <v>368.373</v>
          </cell>
          <cell r="K50">
            <v>10.725999999999999</v>
          </cell>
          <cell r="L50">
            <v>48.557999999999794</v>
          </cell>
          <cell r="M50">
            <v>336.927</v>
          </cell>
          <cell r="N50">
            <v>12.516657911060847</v>
          </cell>
          <cell r="Q50">
            <v>187.725</v>
          </cell>
          <cell r="R50">
            <v>176.924</v>
          </cell>
          <cell r="S50">
            <v>10.800999999999988</v>
          </cell>
          <cell r="T50">
            <v>13.771999999999935</v>
          </cell>
          <cell r="U50">
            <v>177.46</v>
          </cell>
          <cell r="V50">
            <v>5.784402118787327</v>
          </cell>
        </row>
        <row r="51">
          <cell r="A51" t="str">
            <v>NOV</v>
          </cell>
          <cell r="B51">
            <v>183.53837674418605</v>
          </cell>
          <cell r="C51">
            <v>182.08318139534884</v>
          </cell>
          <cell r="F51">
            <v>195.35925116279068</v>
          </cell>
          <cell r="G51">
            <v>-6.050839337398173</v>
          </cell>
          <cell r="I51">
            <v>1431.4299999999998</v>
          </cell>
          <cell r="J51">
            <v>1420.14</v>
          </cell>
          <cell r="M51">
            <v>1312.1729999999998</v>
          </cell>
          <cell r="N51">
            <v>9.088511956883735</v>
          </cell>
          <cell r="Q51">
            <v>717.235</v>
          </cell>
          <cell r="R51">
            <v>706.204</v>
          </cell>
          <cell r="U51">
            <v>667.059</v>
          </cell>
          <cell r="V51">
            <v>7.521973318701953</v>
          </cell>
        </row>
        <row r="52">
          <cell r="A52">
            <v>39424</v>
          </cell>
          <cell r="B52">
            <v>48.606004651162785</v>
          </cell>
          <cell r="C52">
            <v>47.746004651162785</v>
          </cell>
          <cell r="D52">
            <v>0.8599999999999994</v>
          </cell>
          <cell r="E52">
            <v>4.966623255813946</v>
          </cell>
          <cell r="F52">
            <v>48.593032558139534</v>
          </cell>
          <cell r="G52">
            <v>0.02669537655985721</v>
          </cell>
          <cell r="I52">
            <v>361.677</v>
          </cell>
          <cell r="J52">
            <v>354.569</v>
          </cell>
          <cell r="K52">
            <v>7.108000000000004</v>
          </cell>
          <cell r="L52">
            <v>55.6659999999998</v>
          </cell>
          <cell r="M52">
            <v>317.633</v>
          </cell>
          <cell r="N52">
            <v>13.866317416641238</v>
          </cell>
          <cell r="Q52">
            <v>175.064</v>
          </cell>
          <cell r="R52">
            <v>170.045</v>
          </cell>
          <cell r="S52">
            <v>5.0190000000000055</v>
          </cell>
          <cell r="T52">
            <v>18.79099999999994</v>
          </cell>
          <cell r="U52">
            <v>173.34599999999998</v>
          </cell>
          <cell r="V52">
            <v>0.9910814209730887</v>
          </cell>
        </row>
        <row r="53">
          <cell r="A53">
            <v>39431</v>
          </cell>
          <cell r="B53">
            <v>47.63987441860465</v>
          </cell>
          <cell r="C53">
            <v>47.23221045299293</v>
          </cell>
          <cell r="D53">
            <v>0.407663965611718</v>
          </cell>
          <cell r="E53">
            <v>5.374287221425664</v>
          </cell>
          <cell r="F53">
            <v>48.108376744186046</v>
          </cell>
          <cell r="G53">
            <v>-0.9738477107066785</v>
          </cell>
          <cell r="I53">
            <v>399.43</v>
          </cell>
          <cell r="J53">
            <v>373.91731897003046</v>
          </cell>
          <cell r="K53">
            <v>25.512681029969542</v>
          </cell>
          <cell r="L53">
            <v>81.17868102996934</v>
          </cell>
          <cell r="M53">
            <v>343.749</v>
          </cell>
          <cell r="N53">
            <v>16.198156212818063</v>
          </cell>
          <cell r="Q53">
            <v>192.253</v>
          </cell>
          <cell r="R53">
            <v>190.73128967904842</v>
          </cell>
          <cell r="S53">
            <v>1.5217103209515699</v>
          </cell>
          <cell r="T53">
            <v>20.31271032095151</v>
          </cell>
          <cell r="U53">
            <v>185.824</v>
          </cell>
          <cell r="V53">
            <v>3.4597253314964576</v>
          </cell>
        </row>
        <row r="54">
          <cell r="A54">
            <v>39438</v>
          </cell>
          <cell r="B54">
            <v>41.903055813953486</v>
          </cell>
          <cell r="C54">
            <v>42.462745412891366</v>
          </cell>
          <cell r="D54">
            <v>-0.5596895989378794</v>
          </cell>
          <cell r="E54">
            <v>4.814597622487785</v>
          </cell>
          <cell r="F54">
            <v>39.042530232558136</v>
          </cell>
          <cell r="G54">
            <v>7.326691083688814</v>
          </cell>
          <cell r="I54">
            <v>432.298</v>
          </cell>
          <cell r="J54">
            <v>342.0713744966807</v>
          </cell>
          <cell r="K54">
            <v>90.22662550331933</v>
          </cell>
          <cell r="L54">
            <v>171.40530653328867</v>
          </cell>
          <cell r="M54">
            <v>336.269</v>
          </cell>
          <cell r="N54">
            <v>28.557196768063648</v>
          </cell>
          <cell r="Q54">
            <v>176.363</v>
          </cell>
          <cell r="R54">
            <v>162.74894517551826</v>
          </cell>
          <cell r="S54">
            <v>13.614054824481741</v>
          </cell>
          <cell r="T54">
            <v>33.92676514543325</v>
          </cell>
          <cell r="U54">
            <v>157.671</v>
          </cell>
          <cell r="V54">
            <v>11.855065294188535</v>
          </cell>
        </row>
        <row r="55">
          <cell r="A55">
            <v>39445</v>
          </cell>
          <cell r="B55">
            <v>20.945232558139537</v>
          </cell>
          <cell r="C55">
            <v>26.59571273344017</v>
          </cell>
          <cell r="D55">
            <v>-5.650480175300633</v>
          </cell>
          <cell r="E55">
            <v>-0.8358825528128477</v>
          </cell>
          <cell r="F55">
            <v>23.2729023255814</v>
          </cell>
          <cell r="G55">
            <v>-10.001630801686929</v>
          </cell>
          <cell r="I55">
            <v>220.675</v>
          </cell>
          <cell r="J55">
            <v>210.15378186976776</v>
          </cell>
          <cell r="K55">
            <v>10.521218130232256</v>
          </cell>
          <cell r="L55">
            <v>181.92652466352092</v>
          </cell>
          <cell r="M55">
            <v>247.47699999999998</v>
          </cell>
          <cell r="N55">
            <v>-10.830097342379275</v>
          </cell>
          <cell r="Q55">
            <v>90.08900000000001</v>
          </cell>
          <cell r="R55">
            <v>94.39999937878665</v>
          </cell>
          <cell r="S55">
            <v>-4.310999378786633</v>
          </cell>
          <cell r="T55">
            <v>29.615765766646618</v>
          </cell>
          <cell r="U55">
            <v>97.106</v>
          </cell>
          <cell r="V55">
            <v>-7.226124029411139</v>
          </cell>
        </row>
        <row r="56">
          <cell r="A56" t="str">
            <v>DEC</v>
          </cell>
          <cell r="B56">
            <v>159.09416744186046</v>
          </cell>
          <cell r="C56">
            <v>164.03667325048724</v>
          </cell>
          <cell r="F56">
            <v>159.0168418604651</v>
          </cell>
          <cell r="G56">
            <v>0.04862729034904589</v>
          </cell>
          <cell r="I56">
            <v>1414.08</v>
          </cell>
          <cell r="J56">
            <v>1280.7114753364788</v>
          </cell>
          <cell r="M56">
            <v>1245.1280000000002</v>
          </cell>
          <cell r="N56">
            <v>13.569046716482134</v>
          </cell>
          <cell r="Q56">
            <v>633.7690000000001</v>
          </cell>
          <cell r="R56">
            <v>617.9252342333533</v>
          </cell>
          <cell r="U56">
            <v>613.9469999999999</v>
          </cell>
          <cell r="V56">
            <v>3.2286174539496386</v>
          </cell>
        </row>
        <row r="61">
          <cell r="A61" t="str">
            <v> </v>
          </cell>
          <cell r="B61" t="str">
            <v>     CATTLE FORECASTS</v>
          </cell>
          <cell r="I61" t="str">
            <v>     SHEEP FORECASTS</v>
          </cell>
          <cell r="Q61" t="str">
            <v>     PIG FORECASTS</v>
          </cell>
        </row>
        <row r="62">
          <cell r="B62" t="str">
            <v>       Current year</v>
          </cell>
          <cell r="F62" t="str">
            <v>         Previous year</v>
          </cell>
          <cell r="I62" t="str">
            <v>       Current year</v>
          </cell>
          <cell r="M62" t="str">
            <v>         Previous year</v>
          </cell>
          <cell r="Q62" t="str">
            <v>       Current year</v>
          </cell>
          <cell r="U62" t="str">
            <v>         Previous year</v>
          </cell>
        </row>
        <row r="63">
          <cell r="B63" t="str">
            <v>Actual</v>
          </cell>
          <cell r="C63" t="str">
            <v>Forecast</v>
          </cell>
          <cell r="D63" t="str">
            <v>Deviation</v>
          </cell>
          <cell r="E63" t="str">
            <v>CuSum</v>
          </cell>
          <cell r="F63" t="str">
            <v>Actual</v>
          </cell>
          <cell r="G63" t="str">
            <v>change</v>
          </cell>
          <cell r="I63" t="str">
            <v>Actual</v>
          </cell>
          <cell r="J63" t="str">
            <v>Forecast</v>
          </cell>
          <cell r="K63" t="str">
            <v>Deviation</v>
          </cell>
          <cell r="L63" t="str">
            <v>CuSum</v>
          </cell>
          <cell r="M63" t="str">
            <v>Actual</v>
          </cell>
          <cell r="N63" t="str">
            <v>change</v>
          </cell>
          <cell r="Q63" t="str">
            <v>Actual</v>
          </cell>
          <cell r="R63" t="str">
            <v>Forecast</v>
          </cell>
          <cell r="S63" t="str">
            <v>Deviation</v>
          </cell>
          <cell r="T63" t="str">
            <v>CuSum</v>
          </cell>
          <cell r="U63" t="str">
            <v>Actual</v>
          </cell>
          <cell r="V63" t="str">
            <v>change</v>
          </cell>
        </row>
        <row r="64">
          <cell r="B64" t="str">
            <v>     000 head</v>
          </cell>
          <cell r="G64" t="str">
            <v>%</v>
          </cell>
          <cell r="N64" t="str">
            <v>%</v>
          </cell>
          <cell r="V64" t="str">
            <v>%</v>
          </cell>
        </row>
        <row r="65">
          <cell r="A65" t="str">
            <v>week ending:</v>
          </cell>
        </row>
        <row r="66">
          <cell r="A66">
            <v>39452</v>
          </cell>
          <cell r="B66">
            <v>30.656493023255816</v>
          </cell>
          <cell r="C66">
            <v>30.804004733459614</v>
          </cell>
          <cell r="D66">
            <v>-0.14751171020379772</v>
          </cell>
          <cell r="E66">
            <v>-0.9833942630166455</v>
          </cell>
          <cell r="F66">
            <v>34.2286511627907</v>
          </cell>
          <cell r="G66">
            <v>-10.436163910011459</v>
          </cell>
          <cell r="I66">
            <v>301.489</v>
          </cell>
          <cell r="J66">
            <v>242.43604138325222</v>
          </cell>
          <cell r="K66">
            <v>59.05295861674776</v>
          </cell>
          <cell r="L66">
            <v>240.97948328026868</v>
          </cell>
          <cell r="M66">
            <v>261.019</v>
          </cell>
          <cell r="N66">
            <v>15.50461843773823</v>
          </cell>
          <cell r="Q66">
            <v>132.538</v>
          </cell>
          <cell r="R66">
            <v>127.22273656074294</v>
          </cell>
          <cell r="S66">
            <v>5.315263439257066</v>
          </cell>
          <cell r="T66">
            <v>34.931029205903684</v>
          </cell>
          <cell r="U66">
            <v>135.224</v>
          </cell>
          <cell r="V66">
            <v>-1.9863337869017244</v>
          </cell>
        </row>
        <row r="67">
          <cell r="A67">
            <v>39459</v>
          </cell>
          <cell r="B67">
            <v>44.028953488372096</v>
          </cell>
          <cell r="C67">
            <v>41</v>
          </cell>
          <cell r="D67">
            <v>3.028953488372096</v>
          </cell>
          <cell r="E67">
            <v>2.0455592253554506</v>
          </cell>
          <cell r="F67">
            <v>44.769232558139535</v>
          </cell>
          <cell r="G67">
            <v>-1.6535442478404718</v>
          </cell>
          <cell r="I67">
            <v>330.995</v>
          </cell>
          <cell r="J67">
            <v>291</v>
          </cell>
          <cell r="K67">
            <v>39.995000000000005</v>
          </cell>
          <cell r="L67">
            <v>280.9744832802687</v>
          </cell>
          <cell r="M67">
            <v>260.076</v>
          </cell>
          <cell r="N67">
            <v>27.268567649456315</v>
          </cell>
          <cell r="Q67">
            <v>159.58900000000003</v>
          </cell>
          <cell r="R67">
            <v>149</v>
          </cell>
          <cell r="S67">
            <v>10.589000000000027</v>
          </cell>
          <cell r="T67">
            <v>45.52002920590371</v>
          </cell>
          <cell r="U67">
            <v>152.983</v>
          </cell>
          <cell r="V67">
            <v>4.318126850695833</v>
          </cell>
        </row>
        <row r="68">
          <cell r="A68">
            <v>39466</v>
          </cell>
          <cell r="B68">
            <v>45.819725581395346</v>
          </cell>
          <cell r="C68">
            <v>42</v>
          </cell>
          <cell r="D68">
            <v>3.819725581395346</v>
          </cell>
          <cell r="E68">
            <v>5.865284806750797</v>
          </cell>
          <cell r="F68">
            <v>45.987283720930236</v>
          </cell>
          <cell r="G68">
            <v>-0.364357548385982</v>
          </cell>
          <cell r="I68">
            <v>310.058</v>
          </cell>
          <cell r="J68">
            <v>279</v>
          </cell>
          <cell r="K68">
            <v>31.057999999999993</v>
          </cell>
          <cell r="L68">
            <v>312.0324832802687</v>
          </cell>
          <cell r="M68">
            <v>249.079</v>
          </cell>
          <cell r="N68">
            <v>24.481790917740938</v>
          </cell>
          <cell r="Q68">
            <v>162.37</v>
          </cell>
          <cell r="R68">
            <v>150</v>
          </cell>
          <cell r="S68">
            <v>12.370000000000005</v>
          </cell>
          <cell r="T68">
            <v>57.890029205903716</v>
          </cell>
          <cell r="U68">
            <v>153.862</v>
          </cell>
          <cell r="V68">
            <v>5.529630448063855</v>
          </cell>
        </row>
        <row r="69">
          <cell r="A69">
            <v>39473</v>
          </cell>
          <cell r="B69">
            <v>45.139148837209305</v>
          </cell>
          <cell r="C69">
            <v>41</v>
          </cell>
          <cell r="D69">
            <v>4.139148837209305</v>
          </cell>
          <cell r="E69">
            <v>10.004433643960102</v>
          </cell>
          <cell r="F69">
            <v>45.327060465116276</v>
          </cell>
          <cell r="G69">
            <v>-0.4145683085969978</v>
          </cell>
          <cell r="I69">
            <v>314.89700000000005</v>
          </cell>
          <cell r="J69">
            <v>276</v>
          </cell>
          <cell r="K69">
            <v>38.89700000000005</v>
          </cell>
          <cell r="L69">
            <v>350.92948328026876</v>
          </cell>
          <cell r="M69">
            <v>246.57100000000003</v>
          </cell>
          <cell r="N69">
            <v>27.710476901176534</v>
          </cell>
          <cell r="Q69">
            <v>166.757</v>
          </cell>
          <cell r="R69">
            <v>150</v>
          </cell>
          <cell r="S69">
            <v>16.757000000000005</v>
          </cell>
          <cell r="T69">
            <v>74.64702920590372</v>
          </cell>
          <cell r="U69">
            <v>153.05</v>
          </cell>
          <cell r="V69">
            <v>8.95589676576283</v>
          </cell>
        </row>
        <row r="70">
          <cell r="A70">
            <v>39480</v>
          </cell>
          <cell r="B70">
            <v>45.93573488372093</v>
          </cell>
          <cell r="C70">
            <v>42.19599526654039</v>
          </cell>
          <cell r="D70">
            <v>3.7397396171805397</v>
          </cell>
          <cell r="E70">
            <v>13.744173261140642</v>
          </cell>
          <cell r="F70">
            <v>46.66284651162791</v>
          </cell>
          <cell r="G70">
            <v>-1.5582239024483613</v>
          </cell>
          <cell r="I70">
            <v>334.411</v>
          </cell>
          <cell r="J70">
            <v>383.56395861674764</v>
          </cell>
          <cell r="K70">
            <v>-49.15295861674764</v>
          </cell>
          <cell r="L70">
            <v>301.7765246635211</v>
          </cell>
          <cell r="M70">
            <v>297.86</v>
          </cell>
          <cell r="N70">
            <v>12.27120123547975</v>
          </cell>
          <cell r="Q70">
            <v>168.318</v>
          </cell>
          <cell r="R70">
            <v>162.777263439257</v>
          </cell>
          <cell r="S70">
            <v>5.5407365607429995</v>
          </cell>
          <cell r="T70">
            <v>80.18776576664672</v>
          </cell>
          <cell r="U70">
            <v>161.279</v>
          </cell>
          <cell r="V70">
            <v>4.364486386944378</v>
          </cell>
        </row>
        <row r="71">
          <cell r="A71" t="str">
            <v>JAN</v>
          </cell>
          <cell r="B71">
            <v>211.5800558139535</v>
          </cell>
          <cell r="C71">
            <v>197</v>
          </cell>
          <cell r="F71">
            <v>216.97507441860466</v>
          </cell>
          <cell r="G71">
            <v>-2.4864692956586794</v>
          </cell>
          <cell r="I71">
            <v>1591.85</v>
          </cell>
          <cell r="J71">
            <v>1472</v>
          </cell>
          <cell r="M71">
            <v>1314.605</v>
          </cell>
          <cell r="N71">
            <v>21.089604862297023</v>
          </cell>
          <cell r="Q71">
            <v>789.5720000000001</v>
          </cell>
          <cell r="R71">
            <v>739</v>
          </cell>
          <cell r="U71">
            <v>756.3979999999999</v>
          </cell>
          <cell r="V71">
            <v>4.385786318842747</v>
          </cell>
        </row>
        <row r="72">
          <cell r="A72">
            <v>39487</v>
          </cell>
          <cell r="B72">
            <v>42.45113488372094</v>
          </cell>
          <cell r="C72">
            <v>39</v>
          </cell>
          <cell r="D72">
            <v>3.4511348837209397</v>
          </cell>
          <cell r="E72">
            <v>17.19530814486158</v>
          </cell>
          <cell r="F72">
            <v>42.459874418604656</v>
          </cell>
          <cell r="G72">
            <v>-0.02058304458829241</v>
          </cell>
          <cell r="I72">
            <v>304.80100000000004</v>
          </cell>
          <cell r="J72">
            <v>296</v>
          </cell>
          <cell r="K72">
            <v>8.801000000000045</v>
          </cell>
          <cell r="L72">
            <v>310.57752466352116</v>
          </cell>
          <cell r="M72">
            <v>256.975</v>
          </cell>
          <cell r="N72">
            <v>18.611148944449866</v>
          </cell>
          <cell r="Q72">
            <v>162.67399999999998</v>
          </cell>
          <cell r="R72">
            <v>157</v>
          </cell>
          <cell r="S72">
            <v>5.673999999999978</v>
          </cell>
          <cell r="T72">
            <v>85.8617657666467</v>
          </cell>
          <cell r="U72">
            <v>155.897</v>
          </cell>
          <cell r="V72">
            <v>4.347100970512557</v>
          </cell>
        </row>
        <row r="73">
          <cell r="A73">
            <v>39494</v>
          </cell>
          <cell r="B73">
            <v>43.59028372093023</v>
          </cell>
          <cell r="C73">
            <v>39</v>
          </cell>
          <cell r="D73">
            <v>4.5902837209302305</v>
          </cell>
          <cell r="E73">
            <v>21.78559186579181</v>
          </cell>
          <cell r="F73">
            <v>42.707902325581394</v>
          </cell>
          <cell r="G73">
            <v>2.0660846056592703</v>
          </cell>
          <cell r="I73">
            <v>299.265</v>
          </cell>
          <cell r="J73">
            <v>295</v>
          </cell>
          <cell r="K73">
            <v>4.264999999999986</v>
          </cell>
          <cell r="L73">
            <v>314.84252466352115</v>
          </cell>
          <cell r="M73">
            <v>256.818</v>
          </cell>
          <cell r="N73">
            <v>16.528047099502373</v>
          </cell>
          <cell r="Q73">
            <v>161.21099999999998</v>
          </cell>
          <cell r="R73">
            <v>158</v>
          </cell>
          <cell r="S73">
            <v>3.2109999999999843</v>
          </cell>
          <cell r="T73">
            <v>89.07276576664668</v>
          </cell>
          <cell r="U73">
            <v>156.696</v>
          </cell>
          <cell r="V73">
            <v>2.8813754020523845</v>
          </cell>
        </row>
        <row r="74">
          <cell r="A74">
            <v>39501</v>
          </cell>
          <cell r="B74">
            <v>43.31220465116279</v>
          </cell>
          <cell r="C74">
            <v>40</v>
          </cell>
          <cell r="D74">
            <v>3.312204651162787</v>
          </cell>
          <cell r="E74">
            <v>25.0977965169546</v>
          </cell>
          <cell r="F74">
            <v>44.119869767441855</v>
          </cell>
          <cell r="G74">
            <v>-1.8306153679426274</v>
          </cell>
          <cell r="I74">
            <v>290.33299999999997</v>
          </cell>
          <cell r="J74">
            <v>289</v>
          </cell>
          <cell r="K74">
            <v>1.33299999999997</v>
          </cell>
          <cell r="L74">
            <v>316.1755246635211</v>
          </cell>
          <cell r="M74">
            <v>250.98600000000002</v>
          </cell>
          <cell r="N74">
            <v>15.676970030200877</v>
          </cell>
          <cell r="Q74">
            <v>177.21699999999998</v>
          </cell>
          <cell r="R74">
            <v>158</v>
          </cell>
          <cell r="S74">
            <v>19.216999999999985</v>
          </cell>
          <cell r="T74">
            <v>108.28976576664667</v>
          </cell>
          <cell r="U74">
            <v>157.066</v>
          </cell>
          <cell r="V74">
            <v>12.8296384959189</v>
          </cell>
        </row>
        <row r="75">
          <cell r="A75">
            <v>39508</v>
          </cell>
          <cell r="B75">
            <v>45.25876279069767</v>
          </cell>
          <cell r="C75">
            <v>42</v>
          </cell>
          <cell r="D75">
            <v>3.2587627906976735</v>
          </cell>
          <cell r="E75">
            <v>28.356559307652272</v>
          </cell>
          <cell r="F75">
            <v>45.480320930232566</v>
          </cell>
          <cell r="G75">
            <v>-0.4871516625284329</v>
          </cell>
          <cell r="I75">
            <v>321.977</v>
          </cell>
          <cell r="J75">
            <v>303</v>
          </cell>
          <cell r="K75">
            <v>18.976999999999975</v>
          </cell>
          <cell r="L75">
            <v>335.1525246635211</v>
          </cell>
          <cell r="M75">
            <v>263.711</v>
          </cell>
          <cell r="N75">
            <v>22.094641482531998</v>
          </cell>
          <cell r="Q75">
            <v>154.935</v>
          </cell>
          <cell r="R75">
            <v>165</v>
          </cell>
          <cell r="S75">
            <v>-10.064999999999998</v>
          </cell>
          <cell r="T75">
            <v>98.22476576664667</v>
          </cell>
          <cell r="U75">
            <v>163.52</v>
          </cell>
          <cell r="V75">
            <v>-5.250122309197664</v>
          </cell>
        </row>
        <row r="76">
          <cell r="A76" t="str">
            <v>FEB</v>
          </cell>
          <cell r="B76">
            <v>174.61238604651163</v>
          </cell>
          <cell r="C76">
            <v>160</v>
          </cell>
          <cell r="F76">
            <v>174.7679674418605</v>
          </cell>
          <cell r="G76">
            <v>-0.08902168837124691</v>
          </cell>
          <cell r="I76">
            <v>1216.376</v>
          </cell>
          <cell r="J76">
            <v>1183</v>
          </cell>
          <cell r="M76">
            <v>1028.49</v>
          </cell>
          <cell r="N76">
            <v>18.268140672247668</v>
          </cell>
          <cell r="Q76">
            <v>656.037</v>
          </cell>
          <cell r="R76">
            <v>638</v>
          </cell>
          <cell r="U76">
            <v>633.179</v>
          </cell>
          <cell r="V76">
            <v>3.6100376039003237</v>
          </cell>
        </row>
        <row r="77">
          <cell r="A77">
            <v>39515</v>
          </cell>
          <cell r="B77">
            <v>42.477944186046514</v>
          </cell>
          <cell r="C77">
            <v>40</v>
          </cell>
          <cell r="D77">
            <v>2.477944186046514</v>
          </cell>
          <cell r="E77">
            <v>30.834503493698787</v>
          </cell>
          <cell r="F77">
            <v>42.83110232558139</v>
          </cell>
          <cell r="G77">
            <v>-0.8245366576147006</v>
          </cell>
          <cell r="I77">
            <v>293.818</v>
          </cell>
          <cell r="J77">
            <v>282</v>
          </cell>
          <cell r="K77">
            <v>11.817999999999984</v>
          </cell>
          <cell r="L77">
            <v>346.9705246635211</v>
          </cell>
          <cell r="M77">
            <v>256.93100000000004</v>
          </cell>
          <cell r="N77">
            <v>14.356772830059413</v>
          </cell>
          <cell r="Q77">
            <v>165.22199999999998</v>
          </cell>
          <cell r="R77">
            <v>154</v>
          </cell>
          <cell r="S77">
            <v>11.22199999999998</v>
          </cell>
          <cell r="T77">
            <v>109.44676576664665</v>
          </cell>
          <cell r="U77">
            <v>159.549</v>
          </cell>
          <cell r="V77">
            <v>3.5556474813380134</v>
          </cell>
        </row>
        <row r="78">
          <cell r="A78">
            <v>39522</v>
          </cell>
          <cell r="B78">
            <v>42.69672093023255</v>
          </cell>
          <cell r="C78">
            <v>39</v>
          </cell>
          <cell r="D78">
            <v>3.6967209302325514</v>
          </cell>
          <cell r="E78">
            <v>34.531224423931334</v>
          </cell>
          <cell r="F78">
            <v>42.11218139534884</v>
          </cell>
          <cell r="G78">
            <v>1.3880533268890929</v>
          </cell>
          <cell r="I78">
            <v>311.68</v>
          </cell>
          <cell r="J78">
            <v>291</v>
          </cell>
          <cell r="K78">
            <v>20.680000000000007</v>
          </cell>
          <cell r="L78">
            <v>367.6505246635211</v>
          </cell>
          <cell r="M78">
            <v>264.811</v>
          </cell>
          <cell r="N78">
            <v>17.69903818194865</v>
          </cell>
          <cell r="Q78">
            <v>162.358</v>
          </cell>
          <cell r="R78">
            <v>153</v>
          </cell>
          <cell r="S78">
            <v>9.358000000000004</v>
          </cell>
          <cell r="T78">
            <v>118.80476576664665</v>
          </cell>
          <cell r="U78">
            <v>158.744</v>
          </cell>
          <cell r="V78">
            <v>2.2766214786070833</v>
          </cell>
        </row>
        <row r="79">
          <cell r="A79">
            <v>39529</v>
          </cell>
          <cell r="B79">
            <v>38.081906976744186</v>
          </cell>
          <cell r="C79">
            <v>39</v>
          </cell>
          <cell r="D79">
            <v>-0.918093023255814</v>
          </cell>
          <cell r="E79">
            <v>33.61313140067552</v>
          </cell>
          <cell r="F79">
            <v>41.157962790697674</v>
          </cell>
          <cell r="G79">
            <v>-7.473780540587697</v>
          </cell>
          <cell r="I79">
            <v>285.502</v>
          </cell>
          <cell r="J79">
            <v>283</v>
          </cell>
          <cell r="K79">
            <v>2.5020000000000095</v>
          </cell>
          <cell r="L79">
            <v>370.1525246635211</v>
          </cell>
          <cell r="M79">
            <v>257.629</v>
          </cell>
          <cell r="N79">
            <v>10.819045992493088</v>
          </cell>
          <cell r="Q79">
            <v>146.77</v>
          </cell>
          <cell r="R79">
            <v>150</v>
          </cell>
          <cell r="S79">
            <v>-3.2299999999999898</v>
          </cell>
          <cell r="T79">
            <v>115.57476576664666</v>
          </cell>
          <cell r="U79">
            <v>155.43200000000002</v>
          </cell>
          <cell r="V79">
            <v>-5.572855010551237</v>
          </cell>
        </row>
        <row r="80">
          <cell r="A80">
            <v>39536</v>
          </cell>
          <cell r="B80">
            <v>38.0195346368184</v>
          </cell>
          <cell r="C80">
            <v>39</v>
          </cell>
          <cell r="D80">
            <v>-0.9804653631816009</v>
          </cell>
          <cell r="E80">
            <v>32.63266603749392</v>
          </cell>
          <cell r="F80">
            <v>41.49189302325582</v>
          </cell>
          <cell r="G80">
            <v>-8.368763470230661</v>
          </cell>
          <cell r="I80">
            <v>237.48021488302732</v>
          </cell>
          <cell r="J80">
            <v>323</v>
          </cell>
          <cell r="K80">
            <v>-85.51978511697268</v>
          </cell>
          <cell r="L80">
            <v>284.6327395465484</v>
          </cell>
          <cell r="M80">
            <v>295.007</v>
          </cell>
          <cell r="N80">
            <v>-19.500142409153923</v>
          </cell>
          <cell r="Q80">
            <v>153.35916606582316</v>
          </cell>
          <cell r="R80">
            <v>157</v>
          </cell>
          <cell r="S80">
            <v>-3.6408339341768396</v>
          </cell>
          <cell r="T80">
            <v>111.93393183246982</v>
          </cell>
          <cell r="U80">
            <v>162.188</v>
          </cell>
          <cell r="V80">
            <v>-5.443580248956053</v>
          </cell>
        </row>
        <row r="81">
          <cell r="A81" t="str">
            <v>MAR</v>
          </cell>
          <cell r="B81">
            <v>161.27610672984167</v>
          </cell>
          <cell r="C81">
            <v>157</v>
          </cell>
          <cell r="F81">
            <v>167.5931395348837</v>
          </cell>
          <cell r="G81">
            <v>-3.769266941697907</v>
          </cell>
          <cell r="I81">
            <v>1128.4802148830272</v>
          </cell>
          <cell r="J81">
            <v>1179</v>
          </cell>
          <cell r="M81">
            <v>1074.378</v>
          </cell>
          <cell r="N81">
            <v>5.035677841786338</v>
          </cell>
          <cell r="Q81">
            <v>627.7091660658232</v>
          </cell>
          <cell r="R81">
            <v>614</v>
          </cell>
          <cell r="U81">
            <v>635.913</v>
          </cell>
          <cell r="V81">
            <v>-1.2900874701691691</v>
          </cell>
        </row>
        <row r="83">
          <cell r="A83" t="str">
            <v>YEAR</v>
          </cell>
          <cell r="B83">
            <v>2120.6095718461206</v>
          </cell>
          <cell r="C83">
            <v>2087.9769058086263</v>
          </cell>
          <cell r="F83">
            <v>2186.561404651163</v>
          </cell>
          <cell r="G83">
            <v>-3.016235110742926</v>
          </cell>
          <cell r="I83">
            <v>15464.601214883027</v>
          </cell>
          <cell r="J83">
            <v>15179.968475336482</v>
          </cell>
          <cell r="M83">
            <v>14920.363000000003</v>
          </cell>
          <cell r="N83">
            <v>3.647620469307782</v>
          </cell>
          <cell r="Q83">
            <v>8212.378166065822</v>
          </cell>
          <cell r="R83">
            <v>8100.444234233353</v>
          </cell>
          <cell r="U83">
            <v>8006.337000000002</v>
          </cell>
          <cell r="V83">
            <v>2.573476061097864</v>
          </cell>
        </row>
        <row r="85">
          <cell r="A85" t="str">
            <v>Notes: 1. "Actual" slaughterings are based on MLC levy returns.</v>
          </cell>
        </row>
        <row r="86">
          <cell r="A86" t="str">
            <v>            2. A negative deviation indicates that the forecast was too high and a positive deviation that the forecast was too low.</v>
          </cell>
        </row>
        <row r="87">
          <cell r="A87" t="str">
            <v>Source: MLC Economic and Policy Analysis Group.</v>
          </cell>
        </row>
        <row r="92">
          <cell r="A92" t="str">
            <v> </v>
          </cell>
        </row>
      </sheetData>
      <sheetData sheetId="4">
        <row r="1">
          <cell r="A1" t="str">
            <v>2007/08 ENGLAND LEVY MONITOR</v>
          </cell>
        </row>
        <row r="2">
          <cell r="A2" t="str">
            <v>Based on January 2008 forecasts</v>
          </cell>
          <cell r="R2" t="str">
            <v> </v>
          </cell>
        </row>
        <row r="4">
          <cell r="B4" t="str">
            <v>     CATTLE FORECASTS</v>
          </cell>
          <cell r="I4" t="str">
            <v>     SHEEP FORECASTS</v>
          </cell>
          <cell r="Q4" t="str">
            <v>     PIG FORECASTS</v>
          </cell>
        </row>
        <row r="5">
          <cell r="B5" t="str">
            <v>       Current year</v>
          </cell>
          <cell r="F5" t="str">
            <v>         Previous year</v>
          </cell>
          <cell r="I5" t="str">
            <v>       Current year</v>
          </cell>
          <cell r="M5" t="str">
            <v>         Previous year</v>
          </cell>
          <cell r="Q5" t="str">
            <v>       Current year</v>
          </cell>
          <cell r="U5" t="str">
            <v>         Previous year</v>
          </cell>
        </row>
        <row r="6">
          <cell r="B6" t="str">
            <v>Actual</v>
          </cell>
          <cell r="C6" t="str">
            <v>Forecast</v>
          </cell>
          <cell r="D6" t="str">
            <v>Deviation</v>
          </cell>
          <cell r="E6" t="str">
            <v>CuSum</v>
          </cell>
          <cell r="F6" t="str">
            <v>Actual</v>
          </cell>
          <cell r="G6" t="str">
            <v>change</v>
          </cell>
          <cell r="I6" t="str">
            <v>Actual</v>
          </cell>
          <cell r="J6" t="str">
            <v>Forecast</v>
          </cell>
          <cell r="K6" t="str">
            <v>Deviation</v>
          </cell>
          <cell r="L6" t="str">
            <v>CuSum</v>
          </cell>
          <cell r="M6" t="str">
            <v>Actual</v>
          </cell>
          <cell r="N6" t="str">
            <v>change</v>
          </cell>
          <cell r="Q6" t="str">
            <v>Actual</v>
          </cell>
          <cell r="R6" t="str">
            <v>Forecast</v>
          </cell>
          <cell r="S6" t="str">
            <v>Deviation</v>
          </cell>
          <cell r="T6" t="str">
            <v>CuSum</v>
          </cell>
          <cell r="U6" t="str">
            <v>Actual</v>
          </cell>
          <cell r="V6" t="str">
            <v>change</v>
          </cell>
        </row>
        <row r="7">
          <cell r="B7" t="str">
            <v>     000 head</v>
          </cell>
          <cell r="G7" t="str">
            <v>%</v>
          </cell>
          <cell r="N7" t="str">
            <v>%</v>
          </cell>
          <cell r="V7" t="str">
            <v>%</v>
          </cell>
        </row>
        <row r="8">
          <cell r="A8" t="str">
            <v>week ending:</v>
          </cell>
        </row>
        <row r="9">
          <cell r="A9">
            <v>39179</v>
          </cell>
          <cell r="B9">
            <v>24.54034418604651</v>
          </cell>
          <cell r="C9">
            <v>24.54034418604651</v>
          </cell>
          <cell r="D9">
            <v>0</v>
          </cell>
          <cell r="E9">
            <v>0</v>
          </cell>
          <cell r="F9">
            <v>25.878362790697675</v>
          </cell>
          <cell r="G9">
            <v>-5.1704144326013335</v>
          </cell>
          <cell r="I9">
            <v>173.818</v>
          </cell>
          <cell r="J9">
            <v>173.818</v>
          </cell>
          <cell r="K9">
            <v>0</v>
          </cell>
          <cell r="L9">
            <v>0</v>
          </cell>
          <cell r="M9">
            <v>157.16</v>
          </cell>
          <cell r="N9">
            <v>10.599389157546454</v>
          </cell>
          <cell r="Q9">
            <v>123.68</v>
          </cell>
          <cell r="R9">
            <v>123.68</v>
          </cell>
          <cell r="S9">
            <v>0</v>
          </cell>
          <cell r="T9">
            <v>0</v>
          </cell>
          <cell r="U9">
            <v>134.67</v>
          </cell>
          <cell r="V9">
            <v>-8.160689091854152</v>
          </cell>
        </row>
        <row r="10">
          <cell r="A10">
            <v>39186</v>
          </cell>
          <cell r="B10">
            <v>23.96266046511628</v>
          </cell>
          <cell r="C10">
            <v>23.96266046511628</v>
          </cell>
          <cell r="D10">
            <v>0</v>
          </cell>
          <cell r="E10">
            <v>0</v>
          </cell>
          <cell r="F10">
            <v>23.833827906976747</v>
          </cell>
          <cell r="G10">
            <v>0.5405449709646462</v>
          </cell>
          <cell r="I10">
            <v>160.862</v>
          </cell>
          <cell r="J10">
            <v>160.862</v>
          </cell>
          <cell r="K10">
            <v>0</v>
          </cell>
          <cell r="L10">
            <v>0</v>
          </cell>
          <cell r="M10">
            <v>158.295</v>
          </cell>
          <cell r="N10">
            <v>1.6216557692915217</v>
          </cell>
          <cell r="Q10">
            <v>126.99600000000001</v>
          </cell>
          <cell r="R10">
            <v>126.99600000000001</v>
          </cell>
          <cell r="S10">
            <v>0</v>
          </cell>
          <cell r="T10">
            <v>0</v>
          </cell>
          <cell r="U10">
            <v>114.656</v>
          </cell>
          <cell r="V10">
            <v>10.76262908177506</v>
          </cell>
        </row>
        <row r="11">
          <cell r="A11">
            <v>39193</v>
          </cell>
          <cell r="B11">
            <v>29.393623255813953</v>
          </cell>
          <cell r="C11">
            <v>29.393623255813953</v>
          </cell>
          <cell r="D11">
            <v>0</v>
          </cell>
          <cell r="E11">
            <v>0</v>
          </cell>
          <cell r="F11">
            <v>22.88493953488372</v>
          </cell>
          <cell r="G11">
            <v>28.440904163233597</v>
          </cell>
          <cell r="I11">
            <v>165.392</v>
          </cell>
          <cell r="J11">
            <v>165.392</v>
          </cell>
          <cell r="K11">
            <v>0</v>
          </cell>
          <cell r="L11">
            <v>0</v>
          </cell>
          <cell r="M11">
            <v>144.303</v>
          </cell>
          <cell r="N11">
            <v>14.614387781265805</v>
          </cell>
          <cell r="Q11">
            <v>146.875</v>
          </cell>
          <cell r="R11">
            <v>146.875</v>
          </cell>
          <cell r="S11">
            <v>0</v>
          </cell>
          <cell r="T11">
            <v>0</v>
          </cell>
          <cell r="U11">
            <v>123.322</v>
          </cell>
          <cell r="V11">
            <v>19.09878205024245</v>
          </cell>
        </row>
        <row r="12">
          <cell r="A12">
            <v>39200</v>
          </cell>
          <cell r="B12">
            <v>28.561967441860467</v>
          </cell>
          <cell r="C12">
            <v>28.561967441860467</v>
          </cell>
          <cell r="D12">
            <v>0</v>
          </cell>
          <cell r="E12">
            <v>0</v>
          </cell>
          <cell r="F12">
            <v>29.38992093023256</v>
          </cell>
          <cell r="G12">
            <v>-2.8171341132136263</v>
          </cell>
          <cell r="I12">
            <v>163.056</v>
          </cell>
          <cell r="J12">
            <v>163.056</v>
          </cell>
          <cell r="K12">
            <v>0</v>
          </cell>
          <cell r="L12">
            <v>0</v>
          </cell>
          <cell r="M12">
            <v>158.258</v>
          </cell>
          <cell r="N12">
            <v>3.031758268144415</v>
          </cell>
          <cell r="Q12">
            <v>143.262</v>
          </cell>
          <cell r="R12">
            <v>143.262</v>
          </cell>
          <cell r="S12">
            <v>0</v>
          </cell>
          <cell r="T12">
            <v>0</v>
          </cell>
          <cell r="U12">
            <v>136.31799999999998</v>
          </cell>
          <cell r="V12">
            <v>5.093971449111649</v>
          </cell>
        </row>
        <row r="13">
          <cell r="A13">
            <v>39207</v>
          </cell>
          <cell r="B13">
            <v>30.269167441860464</v>
          </cell>
          <cell r="C13">
            <v>30.235167441860465</v>
          </cell>
          <cell r="D13">
            <v>0.03399999999999892</v>
          </cell>
          <cell r="E13">
            <v>0.03399999999999892</v>
          </cell>
          <cell r="F13">
            <v>26.356846511627907</v>
          </cell>
          <cell r="G13">
            <v>14.843660938369666</v>
          </cell>
          <cell r="I13">
            <v>193.788</v>
          </cell>
          <cell r="J13">
            <v>193.788</v>
          </cell>
          <cell r="K13">
            <v>0</v>
          </cell>
          <cell r="L13">
            <v>0</v>
          </cell>
          <cell r="M13">
            <v>154.56099999999998</v>
          </cell>
          <cell r="N13">
            <v>25.37962357904003</v>
          </cell>
          <cell r="Q13">
            <v>151.806</v>
          </cell>
          <cell r="R13">
            <v>151.806</v>
          </cell>
          <cell r="S13">
            <v>0</v>
          </cell>
          <cell r="T13">
            <v>0</v>
          </cell>
          <cell r="U13">
            <v>132.32299999999998</v>
          </cell>
          <cell r="V13">
            <v>14.72381974411104</v>
          </cell>
        </row>
        <row r="14">
          <cell r="A14" t="str">
            <v>APR</v>
          </cell>
          <cell r="B14">
            <v>136.72776279069768</v>
          </cell>
          <cell r="C14">
            <v>136.69376279069766</v>
          </cell>
          <cell r="F14">
            <v>128.3438976744186</v>
          </cell>
          <cell r="G14">
            <v>6.532344169215733</v>
          </cell>
          <cell r="I14">
            <v>856.916</v>
          </cell>
          <cell r="J14">
            <v>856.916</v>
          </cell>
          <cell r="M14">
            <v>772.577</v>
          </cell>
          <cell r="N14">
            <v>10.916581777609238</v>
          </cell>
          <cell r="Q14">
            <v>692.6190000000001</v>
          </cell>
          <cell r="R14">
            <v>692.6190000000001</v>
          </cell>
          <cell r="U14">
            <v>641.289</v>
          </cell>
          <cell r="V14">
            <v>8.00419155794036</v>
          </cell>
        </row>
        <row r="15">
          <cell r="A15">
            <v>39214</v>
          </cell>
          <cell r="B15">
            <v>25.051046511627906</v>
          </cell>
          <cell r="C15">
            <v>25.051046511627906</v>
          </cell>
          <cell r="D15">
            <v>0</v>
          </cell>
          <cell r="E15">
            <v>0.03399999999999892</v>
          </cell>
          <cell r="F15">
            <v>29.368841860465118</v>
          </cell>
          <cell r="G15">
            <v>-14.701959884395762</v>
          </cell>
          <cell r="I15">
            <v>156.15200000000002</v>
          </cell>
          <cell r="J15">
            <v>156.15200000000002</v>
          </cell>
          <cell r="K15">
            <v>0</v>
          </cell>
          <cell r="L15">
            <v>0</v>
          </cell>
          <cell r="M15">
            <v>153.641</v>
          </cell>
          <cell r="N15">
            <v>1.6343293782258712</v>
          </cell>
          <cell r="Q15">
            <v>126.22</v>
          </cell>
          <cell r="R15">
            <v>126.22</v>
          </cell>
          <cell r="S15">
            <v>0</v>
          </cell>
          <cell r="T15">
            <v>0</v>
          </cell>
          <cell r="U15">
            <v>139.52200000000002</v>
          </cell>
          <cell r="V15">
            <v>-9.533980304181426</v>
          </cell>
        </row>
        <row r="16">
          <cell r="A16">
            <v>39221</v>
          </cell>
          <cell r="B16">
            <v>29.09505581395349</v>
          </cell>
          <cell r="C16">
            <v>29.09405581395349</v>
          </cell>
          <cell r="D16">
            <v>0.0010000000000012221</v>
          </cell>
          <cell r="E16">
            <v>0.03500000000000014</v>
          </cell>
          <cell r="F16">
            <v>28.650772093023257</v>
          </cell>
          <cell r="G16">
            <v>1.5506867301437381</v>
          </cell>
          <cell r="I16">
            <v>165.51000000000002</v>
          </cell>
          <cell r="J16">
            <v>165.51</v>
          </cell>
          <cell r="K16">
            <v>2.842170943040401E-14</v>
          </cell>
          <cell r="L16">
            <v>2.842170943040401E-14</v>
          </cell>
          <cell r="M16">
            <v>147.472</v>
          </cell>
          <cell r="N16">
            <v>12.231474449387008</v>
          </cell>
          <cell r="Q16">
            <v>139.922</v>
          </cell>
          <cell r="R16">
            <v>139.922</v>
          </cell>
          <cell r="S16">
            <v>0</v>
          </cell>
          <cell r="T16">
            <v>0</v>
          </cell>
          <cell r="U16">
            <v>135.721</v>
          </cell>
          <cell r="V16">
            <v>3.095320547299238</v>
          </cell>
        </row>
        <row r="17">
          <cell r="A17">
            <v>39228</v>
          </cell>
          <cell r="B17">
            <v>27.47888372093023</v>
          </cell>
          <cell r="C17">
            <v>27.47888372093023</v>
          </cell>
          <cell r="D17">
            <v>0</v>
          </cell>
          <cell r="E17">
            <v>0.03500000000000014</v>
          </cell>
          <cell r="F17">
            <v>28.81691627906977</v>
          </cell>
          <cell r="G17">
            <v>-4.64321909111203</v>
          </cell>
          <cell r="I17">
            <v>172.472</v>
          </cell>
          <cell r="J17">
            <v>172.472</v>
          </cell>
          <cell r="K17">
            <v>0</v>
          </cell>
          <cell r="L17">
            <v>2.842170943040401E-14</v>
          </cell>
          <cell r="M17">
            <v>142.38500000000002</v>
          </cell>
          <cell r="N17">
            <v>21.130737086069445</v>
          </cell>
          <cell r="Q17">
            <v>140.843</v>
          </cell>
          <cell r="R17">
            <v>140.843</v>
          </cell>
          <cell r="S17">
            <v>0</v>
          </cell>
          <cell r="T17">
            <v>0</v>
          </cell>
          <cell r="U17">
            <v>136.986</v>
          </cell>
          <cell r="V17">
            <v>2.815616194355613</v>
          </cell>
        </row>
        <row r="18">
          <cell r="A18">
            <v>39235</v>
          </cell>
          <cell r="B18">
            <v>26.33052093023256</v>
          </cell>
          <cell r="C18">
            <v>26.33052093023256</v>
          </cell>
          <cell r="D18">
            <v>0</v>
          </cell>
          <cell r="E18">
            <v>0.03500000000000014</v>
          </cell>
          <cell r="F18">
            <v>26.25695348837209</v>
          </cell>
          <cell r="G18">
            <v>0.28018270243366317</v>
          </cell>
          <cell r="I18">
            <v>173.435</v>
          </cell>
          <cell r="J18">
            <v>173.435</v>
          </cell>
          <cell r="K18">
            <v>0</v>
          </cell>
          <cell r="L18">
            <v>2.842170943040401E-14</v>
          </cell>
          <cell r="M18">
            <v>158.46</v>
          </cell>
          <cell r="N18">
            <v>9.450334469266693</v>
          </cell>
          <cell r="Q18">
            <v>133.23</v>
          </cell>
          <cell r="R18">
            <v>133.681</v>
          </cell>
          <cell r="S18">
            <v>-0.45100000000002183</v>
          </cell>
          <cell r="T18">
            <v>-0.45100000000002183</v>
          </cell>
          <cell r="U18">
            <v>125.95299999999999</v>
          </cell>
          <cell r="V18">
            <v>5.777551943979105</v>
          </cell>
        </row>
        <row r="19">
          <cell r="A19" t="str">
            <v>MAY</v>
          </cell>
          <cell r="B19">
            <v>107.95550697674418</v>
          </cell>
          <cell r="C19">
            <v>107.95450697674417</v>
          </cell>
          <cell r="F19">
            <v>113.09348372093024</v>
          </cell>
          <cell r="G19">
            <v>-4.543123595754238</v>
          </cell>
          <cell r="I19">
            <v>667.569</v>
          </cell>
          <cell r="J19">
            <v>667.569</v>
          </cell>
          <cell r="M19">
            <v>601.9580000000001</v>
          </cell>
          <cell r="N19">
            <v>10.899597646347402</v>
          </cell>
          <cell r="Q19">
            <v>540.215</v>
          </cell>
          <cell r="R19">
            <v>540.666</v>
          </cell>
          <cell r="U19">
            <v>538.182</v>
          </cell>
          <cell r="V19">
            <v>0.3777532507590422</v>
          </cell>
        </row>
        <row r="20">
          <cell r="A20">
            <v>39242</v>
          </cell>
          <cell r="B20">
            <v>27.94973023255814</v>
          </cell>
          <cell r="C20">
            <v>27.94973023255814</v>
          </cell>
          <cell r="D20">
            <v>0</v>
          </cell>
          <cell r="E20">
            <v>0.03500000000000014</v>
          </cell>
          <cell r="F20">
            <v>26.961190697674418</v>
          </cell>
          <cell r="G20">
            <v>3.666527735991238</v>
          </cell>
          <cell r="I20">
            <v>169.69</v>
          </cell>
          <cell r="J20">
            <v>168.65699999999998</v>
          </cell>
          <cell r="K20">
            <v>1.0330000000000155</v>
          </cell>
          <cell r="L20">
            <v>1.0330000000000439</v>
          </cell>
          <cell r="M20">
            <v>162.767</v>
          </cell>
          <cell r="N20">
            <v>4.253319161746532</v>
          </cell>
          <cell r="Q20">
            <v>140.245</v>
          </cell>
          <cell r="R20">
            <v>141.278</v>
          </cell>
          <cell r="S20">
            <v>-1.032999999999987</v>
          </cell>
          <cell r="T20">
            <v>-1.4840000000000089</v>
          </cell>
          <cell r="U20">
            <v>134.319</v>
          </cell>
          <cell r="V20">
            <v>4.411885139109145</v>
          </cell>
        </row>
        <row r="21">
          <cell r="A21">
            <v>39249</v>
          </cell>
          <cell r="B21">
            <v>27.819925581395346</v>
          </cell>
          <cell r="C21">
            <v>27.819925581395346</v>
          </cell>
          <cell r="D21">
            <v>0</v>
          </cell>
          <cell r="E21">
            <v>0.03500000000000014</v>
          </cell>
          <cell r="F21">
            <v>27.085544186046512</v>
          </cell>
          <cell r="G21">
            <v>2.7113407443634117</v>
          </cell>
          <cell r="I21">
            <v>166.352</v>
          </cell>
          <cell r="J21">
            <v>166.352</v>
          </cell>
          <cell r="K21">
            <v>0</v>
          </cell>
          <cell r="L21">
            <v>1.0330000000000439</v>
          </cell>
          <cell r="M21">
            <v>161.1</v>
          </cell>
          <cell r="N21">
            <v>3.260086902544998</v>
          </cell>
          <cell r="Q21">
            <v>139.72799999999998</v>
          </cell>
          <cell r="R21">
            <v>139.72799999999998</v>
          </cell>
          <cell r="S21">
            <v>0</v>
          </cell>
          <cell r="T21">
            <v>-1.4840000000000089</v>
          </cell>
          <cell r="U21">
            <v>134.33700000000002</v>
          </cell>
          <cell r="V21">
            <v>4.013041827642397</v>
          </cell>
        </row>
        <row r="22">
          <cell r="A22">
            <v>39256</v>
          </cell>
          <cell r="B22">
            <v>28.853553488372093</v>
          </cell>
          <cell r="C22">
            <v>28.853553488372093</v>
          </cell>
          <cell r="D22">
            <v>0</v>
          </cell>
          <cell r="E22">
            <v>0.03500000000000014</v>
          </cell>
          <cell r="F22">
            <v>27.609283720930232</v>
          </cell>
          <cell r="G22">
            <v>4.506707888617171</v>
          </cell>
          <cell r="I22">
            <v>165.75</v>
          </cell>
          <cell r="J22">
            <v>165.75</v>
          </cell>
          <cell r="K22">
            <v>0</v>
          </cell>
          <cell r="L22">
            <v>1.0330000000000439</v>
          </cell>
          <cell r="M22">
            <v>151.826</v>
          </cell>
          <cell r="N22">
            <v>9.171024725672822</v>
          </cell>
          <cell r="Q22">
            <v>139.476</v>
          </cell>
          <cell r="R22">
            <v>139.476</v>
          </cell>
          <cell r="S22">
            <v>0</v>
          </cell>
          <cell r="T22">
            <v>-1.4840000000000089</v>
          </cell>
          <cell r="U22">
            <v>134.27100000000002</v>
          </cell>
          <cell r="V22">
            <v>3.8764885939629465</v>
          </cell>
        </row>
        <row r="23">
          <cell r="A23">
            <v>39263</v>
          </cell>
          <cell r="B23">
            <v>31.4708976744186</v>
          </cell>
          <cell r="C23">
            <v>31.313897674418605</v>
          </cell>
          <cell r="D23">
            <v>0.15699999999999648</v>
          </cell>
          <cell r="E23">
            <v>0.19199999999999662</v>
          </cell>
          <cell r="F23">
            <v>30.10108837209302</v>
          </cell>
          <cell r="G23">
            <v>4.550696922957599</v>
          </cell>
          <cell r="I23">
            <v>186.54399999999998</v>
          </cell>
          <cell r="J23">
            <v>185.93900000000002</v>
          </cell>
          <cell r="K23">
            <v>0.6049999999999613</v>
          </cell>
          <cell r="L23">
            <v>1.6380000000000052</v>
          </cell>
          <cell r="M23">
            <v>185.601</v>
          </cell>
          <cell r="N23">
            <v>0.508079159056237</v>
          </cell>
          <cell r="Q23">
            <v>148.069</v>
          </cell>
          <cell r="R23">
            <v>147.69</v>
          </cell>
          <cell r="S23">
            <v>0.3789999999999907</v>
          </cell>
          <cell r="T23">
            <v>-1.1050000000000182</v>
          </cell>
          <cell r="U23">
            <v>142.357</v>
          </cell>
          <cell r="V23">
            <v>4.01244757897399</v>
          </cell>
        </row>
        <row r="24">
          <cell r="A24" t="str">
            <v>JUN</v>
          </cell>
          <cell r="B24">
            <v>116.09410697674417</v>
          </cell>
          <cell r="C24">
            <v>115.93710697674419</v>
          </cell>
          <cell r="F24">
            <v>111.75710697674418</v>
          </cell>
          <cell r="G24">
            <v>3.880737536363114</v>
          </cell>
          <cell r="I24">
            <v>688.336</v>
          </cell>
          <cell r="J24">
            <v>686.6980000000001</v>
          </cell>
          <cell r="M24">
            <v>661.294</v>
          </cell>
          <cell r="N24">
            <v>4.089255308531463</v>
          </cell>
          <cell r="Q24">
            <v>567.5179999999999</v>
          </cell>
          <cell r="R24">
            <v>568.172</v>
          </cell>
          <cell r="U24">
            <v>545.284</v>
          </cell>
          <cell r="V24">
            <v>4.077508234241222</v>
          </cell>
        </row>
        <row r="25">
          <cell r="A25">
            <v>39270</v>
          </cell>
          <cell r="B25">
            <v>28.85472558139535</v>
          </cell>
          <cell r="C25">
            <v>28.85472558139535</v>
          </cell>
          <cell r="D25">
            <v>0</v>
          </cell>
          <cell r="E25">
            <v>0.19199999999999662</v>
          </cell>
          <cell r="F25">
            <v>25.840818604651165</v>
          </cell>
          <cell r="G25">
            <v>11.663357197986372</v>
          </cell>
          <cell r="I25">
            <v>180.733</v>
          </cell>
          <cell r="J25">
            <v>180.733</v>
          </cell>
          <cell r="K25">
            <v>0</v>
          </cell>
          <cell r="L25">
            <v>1.6380000000000052</v>
          </cell>
          <cell r="M25">
            <v>173.018</v>
          </cell>
          <cell r="N25">
            <v>4.459073622397682</v>
          </cell>
          <cell r="Q25">
            <v>136.66899999999998</v>
          </cell>
          <cell r="R25">
            <v>136.66899999999998</v>
          </cell>
          <cell r="S25">
            <v>0</v>
          </cell>
          <cell r="T25">
            <v>-1.1050000000000182</v>
          </cell>
          <cell r="U25">
            <v>132.74</v>
          </cell>
          <cell r="V25">
            <v>2.9599216513484805</v>
          </cell>
        </row>
        <row r="26">
          <cell r="A26">
            <v>39277</v>
          </cell>
          <cell r="B26">
            <v>28.051520930232556</v>
          </cell>
          <cell r="C26">
            <v>28.05480465116279</v>
          </cell>
          <cell r="D26">
            <v>-0.003283720930234324</v>
          </cell>
          <cell r="E26">
            <v>0.1887162790697623</v>
          </cell>
          <cell r="F26">
            <v>27.39841395348837</v>
          </cell>
          <cell r="G26">
            <v>2.38374008748427</v>
          </cell>
          <cell r="I26">
            <v>183.538</v>
          </cell>
          <cell r="J26">
            <v>183.541</v>
          </cell>
          <cell r="K26">
            <v>-0.002999999999985903</v>
          </cell>
          <cell r="L26">
            <v>1.6350000000000193</v>
          </cell>
          <cell r="M26">
            <v>176.795</v>
          </cell>
          <cell r="N26">
            <v>3.8140218897593456</v>
          </cell>
          <cell r="Q26">
            <v>140.04399999999998</v>
          </cell>
          <cell r="R26">
            <v>140.04399999999998</v>
          </cell>
          <cell r="S26">
            <v>0</v>
          </cell>
          <cell r="T26">
            <v>-1.1050000000000182</v>
          </cell>
          <cell r="U26">
            <v>135.18</v>
          </cell>
          <cell r="V26">
            <v>3.5981654090841744</v>
          </cell>
        </row>
        <row r="27">
          <cell r="A27">
            <v>39284</v>
          </cell>
          <cell r="B27">
            <v>28.50133023255814</v>
          </cell>
          <cell r="C27">
            <v>28.50133023255814</v>
          </cell>
          <cell r="D27">
            <v>0</v>
          </cell>
          <cell r="E27">
            <v>0.1887162790697623</v>
          </cell>
          <cell r="F27">
            <v>26.63304651162791</v>
          </cell>
          <cell r="G27">
            <v>7.0149080395836165</v>
          </cell>
          <cell r="I27">
            <v>178.472</v>
          </cell>
          <cell r="J27">
            <v>178.472</v>
          </cell>
          <cell r="K27">
            <v>0</v>
          </cell>
          <cell r="L27">
            <v>1.6350000000000193</v>
          </cell>
          <cell r="M27">
            <v>170.916</v>
          </cell>
          <cell r="N27">
            <v>4.420885113155009</v>
          </cell>
          <cell r="Q27">
            <v>140.31</v>
          </cell>
          <cell r="R27">
            <v>140.31</v>
          </cell>
          <cell r="S27">
            <v>0</v>
          </cell>
          <cell r="T27">
            <v>-1.1050000000000182</v>
          </cell>
          <cell r="U27">
            <v>132.491</v>
          </cell>
          <cell r="V27">
            <v>5.901532934312499</v>
          </cell>
        </row>
        <row r="28">
          <cell r="A28">
            <v>39291</v>
          </cell>
          <cell r="B28">
            <v>28.046432558139536</v>
          </cell>
          <cell r="C28">
            <v>28.046432558139536</v>
          </cell>
          <cell r="D28">
            <v>0</v>
          </cell>
          <cell r="E28">
            <v>0.1887162790697623</v>
          </cell>
          <cell r="F28">
            <v>26.287544186046514</v>
          </cell>
          <cell r="G28">
            <v>6.690957358529687</v>
          </cell>
          <cell r="I28">
            <v>177.913</v>
          </cell>
          <cell r="J28">
            <v>177.913</v>
          </cell>
          <cell r="K28">
            <v>0</v>
          </cell>
          <cell r="L28">
            <v>1.6350000000000193</v>
          </cell>
          <cell r="M28">
            <v>175.767</v>
          </cell>
          <cell r="N28">
            <v>1.2209345326483572</v>
          </cell>
          <cell r="Q28">
            <v>139.817</v>
          </cell>
          <cell r="R28">
            <v>139.817</v>
          </cell>
          <cell r="S28">
            <v>0</v>
          </cell>
          <cell r="T28">
            <v>-1.1050000000000182</v>
          </cell>
          <cell r="U28">
            <v>133.22</v>
          </cell>
          <cell r="V28">
            <v>4.9519591652905035</v>
          </cell>
        </row>
        <row r="29">
          <cell r="A29">
            <v>39298</v>
          </cell>
          <cell r="B29">
            <v>28.26026511627907</v>
          </cell>
          <cell r="C29">
            <v>28.26026511627907</v>
          </cell>
          <cell r="D29">
            <v>0</v>
          </cell>
          <cell r="E29">
            <v>0.1887162790697623</v>
          </cell>
          <cell r="F29">
            <v>28.068623255813954</v>
          </cell>
          <cell r="G29">
            <v>0.6827618822573385</v>
          </cell>
          <cell r="I29">
            <v>202.26299999999998</v>
          </cell>
          <cell r="J29">
            <v>202.243</v>
          </cell>
          <cell r="K29">
            <v>0.01999999999998181</v>
          </cell>
          <cell r="L29">
            <v>1.6550000000000011</v>
          </cell>
          <cell r="M29">
            <v>187.101</v>
          </cell>
          <cell r="N29">
            <v>8.103644555614338</v>
          </cell>
          <cell r="Q29">
            <v>150.27</v>
          </cell>
          <cell r="R29">
            <v>150.27</v>
          </cell>
          <cell r="S29">
            <v>0</v>
          </cell>
          <cell r="T29">
            <v>-1.1050000000000182</v>
          </cell>
          <cell r="U29">
            <v>143.885</v>
          </cell>
          <cell r="V29">
            <v>4.43757167182126</v>
          </cell>
        </row>
        <row r="30">
          <cell r="A30" t="str">
            <v>JUL</v>
          </cell>
          <cell r="B30">
            <v>141.71427441860465</v>
          </cell>
          <cell r="C30">
            <v>141.7175581395349</v>
          </cell>
          <cell r="F30">
            <v>134.2284465116279</v>
          </cell>
          <cell r="G30">
            <v>5.576931046675156</v>
          </cell>
          <cell r="I30">
            <v>922.9190000000001</v>
          </cell>
          <cell r="J30">
            <v>922.902</v>
          </cell>
          <cell r="M30">
            <v>883.5970000000001</v>
          </cell>
          <cell r="N30">
            <v>-89.98661154349777</v>
          </cell>
          <cell r="Q30">
            <v>707.1099999999999</v>
          </cell>
          <cell r="R30">
            <v>707.11</v>
          </cell>
          <cell r="U30">
            <v>677.5160000000001</v>
          </cell>
          <cell r="V30">
            <v>-90.01824311160179</v>
          </cell>
        </row>
        <row r="31">
          <cell r="A31">
            <v>39305</v>
          </cell>
          <cell r="B31">
            <v>13.045241860465117</v>
          </cell>
          <cell r="C31">
            <v>13.010241860465117</v>
          </cell>
          <cell r="D31">
            <v>0.03500000000000014</v>
          </cell>
          <cell r="E31">
            <v>0.22371627906976244</v>
          </cell>
          <cell r="F31">
            <v>25.984851162790697</v>
          </cell>
          <cell r="G31">
            <v>-49.796742037355216</v>
          </cell>
          <cell r="I31">
            <v>88.47800000000001</v>
          </cell>
          <cell r="J31">
            <v>88.023</v>
          </cell>
          <cell r="K31">
            <v>0.4550000000000125</v>
          </cell>
          <cell r="L31">
            <v>2.405000000000001</v>
          </cell>
          <cell r="M31">
            <v>186.421</v>
          </cell>
          <cell r="N31">
            <v>-52.53860884771564</v>
          </cell>
          <cell r="Q31">
            <v>67.628</v>
          </cell>
          <cell r="R31">
            <v>67.628</v>
          </cell>
          <cell r="S31">
            <v>0</v>
          </cell>
          <cell r="T31">
            <v>-0.8230000000000075</v>
          </cell>
          <cell r="U31">
            <v>135.463</v>
          </cell>
          <cell r="V31">
            <v>-50.07640462709374</v>
          </cell>
        </row>
        <row r="32">
          <cell r="A32">
            <v>39312</v>
          </cell>
          <cell r="B32">
            <v>25.364446511627907</v>
          </cell>
          <cell r="C32">
            <v>25.230446511627907</v>
          </cell>
          <cell r="D32">
            <v>0.13400000000000034</v>
          </cell>
          <cell r="E32">
            <v>0.3577162790697628</v>
          </cell>
          <cell r="F32">
            <v>26.968637209302326</v>
          </cell>
          <cell r="G32">
            <v>-5.948356549218147</v>
          </cell>
          <cell r="I32">
            <v>143.682</v>
          </cell>
          <cell r="J32">
            <v>143.387</v>
          </cell>
          <cell r="K32">
            <v>0.2949999999999875</v>
          </cell>
          <cell r="L32">
            <v>2.405000000000001</v>
          </cell>
          <cell r="M32">
            <v>188.965</v>
          </cell>
          <cell r="N32">
            <v>-23.963696980922407</v>
          </cell>
          <cell r="Q32">
            <v>137.77700000000002</v>
          </cell>
          <cell r="R32">
            <v>137.495</v>
          </cell>
          <cell r="S32">
            <v>0.2820000000000107</v>
          </cell>
          <cell r="T32">
            <v>-0.8230000000000075</v>
          </cell>
          <cell r="U32">
            <v>136.838</v>
          </cell>
          <cell r="V32">
            <v>0.6862128940791479</v>
          </cell>
        </row>
        <row r="33">
          <cell r="A33">
            <v>39319</v>
          </cell>
          <cell r="B33">
            <v>24.083004651162792</v>
          </cell>
          <cell r="C33">
            <v>24.07300465116279</v>
          </cell>
          <cell r="D33">
            <v>0.010000000000001563</v>
          </cell>
          <cell r="E33">
            <v>0.36771627906976434</v>
          </cell>
          <cell r="F33">
            <v>27.55711627906977</v>
          </cell>
          <cell r="G33">
            <v>-12.606949118785849</v>
          </cell>
          <cell r="I33">
            <v>150.951</v>
          </cell>
          <cell r="J33">
            <v>150.951</v>
          </cell>
          <cell r="K33">
            <v>0</v>
          </cell>
          <cell r="L33">
            <v>2.405000000000001</v>
          </cell>
          <cell r="M33">
            <v>198.674</v>
          </cell>
          <cell r="N33">
            <v>-24.020757623040765</v>
          </cell>
          <cell r="Q33">
            <v>139.355</v>
          </cell>
          <cell r="R33">
            <v>139.355</v>
          </cell>
          <cell r="S33">
            <v>0</v>
          </cell>
          <cell r="T33">
            <v>-0.8230000000000075</v>
          </cell>
          <cell r="U33">
            <v>143.264</v>
          </cell>
          <cell r="V33">
            <v>-2.7285291489837107</v>
          </cell>
        </row>
        <row r="34">
          <cell r="A34">
            <v>39326</v>
          </cell>
          <cell r="B34">
            <v>24.41494418604651</v>
          </cell>
          <cell r="C34">
            <v>24.40994418604651</v>
          </cell>
          <cell r="D34">
            <v>0.005000000000002558</v>
          </cell>
          <cell r="E34">
            <v>0.3727162790697669</v>
          </cell>
          <cell r="F34">
            <v>26.895702325581397</v>
          </cell>
          <cell r="G34">
            <v>-9.223622828303519</v>
          </cell>
          <cell r="I34">
            <v>199.063</v>
          </cell>
          <cell r="J34">
            <v>199.045</v>
          </cell>
          <cell r="K34">
            <v>0.018000000000000682</v>
          </cell>
          <cell r="L34">
            <v>2.423000000000002</v>
          </cell>
          <cell r="M34">
            <v>189.735</v>
          </cell>
          <cell r="N34">
            <v>4.916330671726342</v>
          </cell>
          <cell r="Q34">
            <v>141.759</v>
          </cell>
          <cell r="R34">
            <v>141.743</v>
          </cell>
          <cell r="S34">
            <v>0.015999999999991132</v>
          </cell>
          <cell r="T34">
            <v>-0.8070000000000164</v>
          </cell>
          <cell r="U34">
            <v>134.311</v>
          </cell>
          <cell r="V34">
            <v>5.545338803225349</v>
          </cell>
        </row>
        <row r="35">
          <cell r="A35" t="str">
            <v>AUG</v>
          </cell>
          <cell r="B35">
            <v>86.90763720930232</v>
          </cell>
          <cell r="C35">
            <v>86.72363720930232</v>
          </cell>
          <cell r="F35">
            <v>107.40630697674419</v>
          </cell>
          <cell r="G35">
            <v>-19.085163939097427</v>
          </cell>
          <cell r="I35">
            <v>582.174</v>
          </cell>
          <cell r="J35">
            <v>581.406</v>
          </cell>
          <cell r="M35">
            <v>763.795</v>
          </cell>
          <cell r="N35">
            <v>-23.77876262609732</v>
          </cell>
          <cell r="Q35">
            <v>486.519</v>
          </cell>
          <cell r="R35">
            <v>486.22099999999995</v>
          </cell>
          <cell r="U35">
            <v>549.876</v>
          </cell>
          <cell r="V35">
            <v>-11.522052244506028</v>
          </cell>
        </row>
        <row r="36">
          <cell r="A36">
            <v>39333</v>
          </cell>
          <cell r="B36">
            <v>27.779520930232557</v>
          </cell>
          <cell r="C36">
            <v>27.779520930232557</v>
          </cell>
          <cell r="D36">
            <v>0</v>
          </cell>
          <cell r="E36">
            <v>0.3727162790697669</v>
          </cell>
          <cell r="F36">
            <v>29.816004651162793</v>
          </cell>
          <cell r="G36">
            <v>-6.830169718432799</v>
          </cell>
          <cell r="I36">
            <v>202.50900000000001</v>
          </cell>
          <cell r="J36">
            <v>202.502</v>
          </cell>
          <cell r="K36">
            <v>0.007000000000005002</v>
          </cell>
          <cell r="L36">
            <v>2.430000000000007</v>
          </cell>
          <cell r="M36">
            <v>194.627</v>
          </cell>
          <cell r="N36">
            <v>4.04979781839107</v>
          </cell>
          <cell r="Q36">
            <v>148.814</v>
          </cell>
          <cell r="R36">
            <v>148.814</v>
          </cell>
          <cell r="S36">
            <v>0</v>
          </cell>
          <cell r="T36">
            <v>-0.8070000000000164</v>
          </cell>
          <cell r="U36">
            <v>146.666</v>
          </cell>
          <cell r="V36">
            <v>1.4645521116004971</v>
          </cell>
        </row>
        <row r="37">
          <cell r="A37">
            <v>39340</v>
          </cell>
          <cell r="B37">
            <v>23.669702325581394</v>
          </cell>
          <cell r="C37">
            <v>23.669702325581394</v>
          </cell>
          <cell r="D37">
            <v>0</v>
          </cell>
          <cell r="E37">
            <v>0.3727162790697669</v>
          </cell>
          <cell r="F37">
            <v>29.80928372093023</v>
          </cell>
          <cell r="G37">
            <v>-20.596205708351206</v>
          </cell>
          <cell r="I37">
            <v>199.757</v>
          </cell>
          <cell r="J37">
            <v>199.767</v>
          </cell>
          <cell r="K37">
            <v>-0.009999999999990905</v>
          </cell>
          <cell r="L37">
            <v>2.420000000000016</v>
          </cell>
          <cell r="M37">
            <v>193.35</v>
          </cell>
          <cell r="N37">
            <v>3.3136798551849154</v>
          </cell>
          <cell r="Q37">
            <v>112.777</v>
          </cell>
          <cell r="R37">
            <v>112.777</v>
          </cell>
          <cell r="S37">
            <v>0</v>
          </cell>
          <cell r="T37">
            <v>-0.8070000000000164</v>
          </cell>
          <cell r="U37">
            <v>144.29399999999998</v>
          </cell>
          <cell r="V37">
            <v>-21.842211041346133</v>
          </cell>
        </row>
        <row r="38">
          <cell r="A38">
            <v>39347</v>
          </cell>
          <cell r="B38">
            <v>27.235116279069768</v>
          </cell>
          <cell r="C38">
            <v>27.299116279069768</v>
          </cell>
          <cell r="D38">
            <v>-0.06400000000000006</v>
          </cell>
          <cell r="E38">
            <v>0.30871627906976684</v>
          </cell>
          <cell r="F38">
            <v>29.801702325581395</v>
          </cell>
          <cell r="G38">
            <v>-8.612212881237</v>
          </cell>
          <cell r="I38">
            <v>141.745</v>
          </cell>
          <cell r="J38">
            <v>141.745</v>
          </cell>
          <cell r="K38">
            <v>0</v>
          </cell>
          <cell r="L38">
            <v>2.420000000000016</v>
          </cell>
          <cell r="M38">
            <v>203.48700000000002</v>
          </cell>
          <cell r="N38">
            <v>-30.34198744882967</v>
          </cell>
          <cell r="Q38">
            <v>148.958</v>
          </cell>
          <cell r="R38">
            <v>148.958</v>
          </cell>
          <cell r="S38">
            <v>0</v>
          </cell>
          <cell r="T38">
            <v>-0.8070000000000164</v>
          </cell>
          <cell r="U38">
            <v>143.722</v>
          </cell>
          <cell r="V38">
            <v>3.6431444037795018</v>
          </cell>
        </row>
        <row r="39">
          <cell r="A39">
            <v>39354</v>
          </cell>
          <cell r="B39">
            <v>27.92966976744186</v>
          </cell>
          <cell r="C39">
            <v>27.92966976744186</v>
          </cell>
          <cell r="D39">
            <v>0</v>
          </cell>
          <cell r="E39">
            <v>0.30871627906976684</v>
          </cell>
          <cell r="F39">
            <v>33.324748837209306</v>
          </cell>
          <cell r="G39">
            <v>-16.189406546234736</v>
          </cell>
          <cell r="I39">
            <v>153.492</v>
          </cell>
          <cell r="J39">
            <v>153.492</v>
          </cell>
          <cell r="K39">
            <v>0</v>
          </cell>
          <cell r="L39">
            <v>2.420000000000016</v>
          </cell>
          <cell r="M39">
            <v>223.063</v>
          </cell>
          <cell r="N39">
            <v>-31.188946620461493</v>
          </cell>
          <cell r="Q39">
            <v>147.026</v>
          </cell>
          <cell r="R39">
            <v>147.026</v>
          </cell>
          <cell r="S39">
            <v>0</v>
          </cell>
          <cell r="T39">
            <v>-0.8070000000000164</v>
          </cell>
          <cell r="U39">
            <v>154.05700000000002</v>
          </cell>
          <cell r="V39">
            <v>-4.56389518165355</v>
          </cell>
        </row>
        <row r="40">
          <cell r="A40" t="str">
            <v>SEP</v>
          </cell>
          <cell r="B40">
            <v>106.61400930232558</v>
          </cell>
          <cell r="C40">
            <v>106.67800930232558</v>
          </cell>
          <cell r="F40">
            <v>122.75173953488374</v>
          </cell>
          <cell r="G40">
            <v>-13.14664076754049</v>
          </cell>
          <cell r="I40">
            <v>697.5029999999999</v>
          </cell>
          <cell r="J40">
            <v>697.506</v>
          </cell>
          <cell r="M40">
            <v>814.5269999999999</v>
          </cell>
          <cell r="N40">
            <v>-14.36711121914928</v>
          </cell>
          <cell r="Q40">
            <v>557.575</v>
          </cell>
          <cell r="R40">
            <v>557.575</v>
          </cell>
          <cell r="U40">
            <v>588.739</v>
          </cell>
          <cell r="V40">
            <v>-5.293347306701264</v>
          </cell>
        </row>
        <row r="41">
          <cell r="A41">
            <v>39361</v>
          </cell>
          <cell r="B41">
            <v>30.425637209302327</v>
          </cell>
          <cell r="C41">
            <v>29.26192558139535</v>
          </cell>
          <cell r="D41">
            <v>1.1637116279069772</v>
          </cell>
          <cell r="E41">
            <v>1.472427906976744</v>
          </cell>
          <cell r="F41">
            <v>30.57467441860465</v>
          </cell>
          <cell r="G41">
            <v>-0.48745313608846175</v>
          </cell>
          <cell r="I41">
            <v>193.068</v>
          </cell>
          <cell r="J41">
            <v>184.881</v>
          </cell>
          <cell r="K41">
            <v>8.187000000000012</v>
          </cell>
          <cell r="L41">
            <v>10.607000000000028</v>
          </cell>
          <cell r="M41">
            <v>183.66</v>
          </cell>
          <cell r="N41">
            <v>5.122508983992162</v>
          </cell>
          <cell r="Q41">
            <v>156.82399999999998</v>
          </cell>
          <cell r="R41">
            <v>154.457</v>
          </cell>
          <cell r="S41">
            <v>2.3669999999999902</v>
          </cell>
          <cell r="T41">
            <v>1.5599999999999739</v>
          </cell>
          <cell r="U41">
            <v>145.588</v>
          </cell>
          <cell r="V41">
            <v>7.7176690386570215</v>
          </cell>
        </row>
        <row r="42">
          <cell r="A42">
            <v>39368</v>
          </cell>
          <cell r="B42">
            <v>27.203581395348834</v>
          </cell>
          <cell r="C42">
            <v>27.203581395348834</v>
          </cell>
          <cell r="D42">
            <v>0</v>
          </cell>
          <cell r="E42">
            <v>1.472427906976744</v>
          </cell>
          <cell r="F42">
            <v>30.600348837209303</v>
          </cell>
          <cell r="G42">
            <v>-11.100420651839372</v>
          </cell>
          <cell r="I42">
            <v>175.454</v>
          </cell>
          <cell r="J42">
            <v>175.454</v>
          </cell>
          <cell r="K42">
            <v>0</v>
          </cell>
          <cell r="L42">
            <v>10.607000000000028</v>
          </cell>
          <cell r="M42">
            <v>200.415</v>
          </cell>
          <cell r="N42">
            <v>-12.454656587580757</v>
          </cell>
          <cell r="Q42">
            <v>149.215</v>
          </cell>
          <cell r="R42">
            <v>149.215</v>
          </cell>
          <cell r="S42">
            <v>0</v>
          </cell>
          <cell r="T42">
            <v>1.5599999999999739</v>
          </cell>
          <cell r="U42">
            <v>145.845</v>
          </cell>
          <cell r="V42">
            <v>2.31067228907402</v>
          </cell>
        </row>
        <row r="43">
          <cell r="A43">
            <v>39375</v>
          </cell>
          <cell r="B43">
            <v>28.29458604651163</v>
          </cell>
          <cell r="C43">
            <v>28.28858604651163</v>
          </cell>
          <cell r="D43">
            <v>0.006000000000000227</v>
          </cell>
          <cell r="E43">
            <v>1.4784279069767443</v>
          </cell>
          <cell r="F43">
            <v>30.296125581395348</v>
          </cell>
          <cell r="G43">
            <v>-6.606585814104392</v>
          </cell>
          <cell r="I43">
            <v>170.95</v>
          </cell>
          <cell r="J43">
            <v>170.886</v>
          </cell>
          <cell r="K43">
            <v>0.06399999999999295</v>
          </cell>
          <cell r="L43">
            <v>10.67100000000002</v>
          </cell>
          <cell r="M43">
            <v>206.77800000000002</v>
          </cell>
          <cell r="N43">
            <v>-17.326794920155933</v>
          </cell>
          <cell r="Q43">
            <v>148.621</v>
          </cell>
          <cell r="R43">
            <v>148.621</v>
          </cell>
          <cell r="S43">
            <v>0</v>
          </cell>
          <cell r="T43">
            <v>1.5599999999999739</v>
          </cell>
          <cell r="U43">
            <v>146.082</v>
          </cell>
          <cell r="V43">
            <v>1.7380649224408415</v>
          </cell>
        </row>
        <row r="44">
          <cell r="A44">
            <v>39382</v>
          </cell>
          <cell r="B44">
            <v>28.349353488372092</v>
          </cell>
          <cell r="C44">
            <v>28.55835348837209</v>
          </cell>
          <cell r="D44">
            <v>-0.20899999999999963</v>
          </cell>
          <cell r="E44">
            <v>1.2694279069767447</v>
          </cell>
          <cell r="F44">
            <v>30.632818604651163</v>
          </cell>
          <cell r="G44">
            <v>-7.454309529102105</v>
          </cell>
          <cell r="I44">
            <v>179.734</v>
          </cell>
          <cell r="J44">
            <v>177.763</v>
          </cell>
          <cell r="K44">
            <v>1.9710000000000036</v>
          </cell>
          <cell r="L44">
            <v>12.642000000000024</v>
          </cell>
          <cell r="M44">
            <v>165.446</v>
          </cell>
          <cell r="N44">
            <v>8.636050433374038</v>
          </cell>
          <cell r="Q44">
            <v>149.739</v>
          </cell>
          <cell r="R44">
            <v>149.739</v>
          </cell>
          <cell r="S44">
            <v>0</v>
          </cell>
          <cell r="T44">
            <v>1.5599999999999739</v>
          </cell>
          <cell r="U44">
            <v>145.01</v>
          </cell>
          <cell r="V44">
            <v>3.26115440314463</v>
          </cell>
        </row>
        <row r="45">
          <cell r="A45">
            <v>39389</v>
          </cell>
          <cell r="B45">
            <v>32.272972093023256</v>
          </cell>
          <cell r="C45">
            <v>31.236972093023258</v>
          </cell>
          <cell r="D45">
            <v>1.0359999999999978</v>
          </cell>
          <cell r="E45">
            <v>2.3054279069767425</v>
          </cell>
          <cell r="F45">
            <v>34.98186511627907</v>
          </cell>
          <cell r="G45">
            <v>-7.743706672733154</v>
          </cell>
          <cell r="I45">
            <v>206.30300000000003</v>
          </cell>
          <cell r="J45">
            <v>191.764</v>
          </cell>
          <cell r="K45">
            <v>14.539000000000016</v>
          </cell>
          <cell r="L45">
            <v>27.18100000000004</v>
          </cell>
          <cell r="M45">
            <v>199.398</v>
          </cell>
          <cell r="N45">
            <v>3.4629233994322988</v>
          </cell>
          <cell r="Q45">
            <v>163.691</v>
          </cell>
          <cell r="R45">
            <v>161.875</v>
          </cell>
          <cell r="S45">
            <v>1.8160000000000025</v>
          </cell>
          <cell r="T45">
            <v>3.3759999999999764</v>
          </cell>
          <cell r="U45">
            <v>154.162</v>
          </cell>
          <cell r="V45">
            <v>6.181160078359113</v>
          </cell>
        </row>
        <row r="46">
          <cell r="A46" t="str">
            <v>OCT</v>
          </cell>
          <cell r="B46">
            <v>146.54613023255814</v>
          </cell>
          <cell r="C46">
            <v>144.54941860465115</v>
          </cell>
          <cell r="F46">
            <v>157.08583255813954</v>
          </cell>
          <cell r="G46">
            <v>-6.709518072981226</v>
          </cell>
          <cell r="I46">
            <v>925.509</v>
          </cell>
          <cell r="J46">
            <v>900.748</v>
          </cell>
          <cell r="M46">
            <v>955.6970000000001</v>
          </cell>
          <cell r="N46">
            <v>-3.1587417350896914</v>
          </cell>
          <cell r="Q46">
            <v>768.09</v>
          </cell>
          <cell r="R46">
            <v>763.907</v>
          </cell>
          <cell r="U46">
            <v>736.687</v>
          </cell>
          <cell r="V46">
            <v>4.262733019586335</v>
          </cell>
        </row>
        <row r="47">
          <cell r="A47">
            <v>39396</v>
          </cell>
          <cell r="B47">
            <v>29.568641860465117</v>
          </cell>
          <cell r="C47">
            <v>29.559641860465117</v>
          </cell>
          <cell r="D47">
            <v>0.009000000000000341</v>
          </cell>
          <cell r="E47">
            <v>2.314427906976743</v>
          </cell>
          <cell r="F47">
            <v>30.994237209302327</v>
          </cell>
          <cell r="G47">
            <v>-4.599549713742732</v>
          </cell>
          <cell r="I47">
            <v>200.976</v>
          </cell>
          <cell r="J47">
            <v>200.877</v>
          </cell>
          <cell r="K47">
            <v>0.09899999999998954</v>
          </cell>
          <cell r="L47">
            <v>27.28000000000003</v>
          </cell>
          <cell r="M47">
            <v>189.64399999999998</v>
          </cell>
          <cell r="N47">
            <v>5.9754065512223065</v>
          </cell>
          <cell r="Q47">
            <v>159.166</v>
          </cell>
          <cell r="R47">
            <v>159.166</v>
          </cell>
          <cell r="S47">
            <v>0</v>
          </cell>
          <cell r="T47">
            <v>3.3759999999999764</v>
          </cell>
          <cell r="U47">
            <v>145.963</v>
          </cell>
          <cell r="V47">
            <v>9.045443023231911</v>
          </cell>
        </row>
        <row r="48">
          <cell r="A48">
            <v>39403</v>
          </cell>
          <cell r="B48">
            <v>30.278753488372093</v>
          </cell>
          <cell r="C48">
            <v>30.17175348837209</v>
          </cell>
          <cell r="D48">
            <v>0.10700000000000287</v>
          </cell>
          <cell r="E48">
            <v>2.4214279069767457</v>
          </cell>
          <cell r="F48">
            <v>33.521493023255815</v>
          </cell>
          <cell r="G48">
            <v>-9.673613083504492</v>
          </cell>
          <cell r="I48">
            <v>194.62</v>
          </cell>
          <cell r="J48">
            <v>194.526</v>
          </cell>
          <cell r="K48">
            <v>0.09399999999999409</v>
          </cell>
          <cell r="L48">
            <v>27.374000000000024</v>
          </cell>
          <cell r="M48">
            <v>178.629</v>
          </cell>
          <cell r="N48">
            <v>8.952073851390324</v>
          </cell>
          <cell r="Q48">
            <v>160.009</v>
          </cell>
          <cell r="R48">
            <v>159.809</v>
          </cell>
          <cell r="S48">
            <v>0.19999999999998863</v>
          </cell>
          <cell r="T48">
            <v>3.575999999999965</v>
          </cell>
          <cell r="U48">
            <v>147.711</v>
          </cell>
          <cell r="V48">
            <v>8.325717109761626</v>
          </cell>
        </row>
        <row r="49">
          <cell r="A49">
            <v>39410</v>
          </cell>
          <cell r="B49">
            <v>32.29255813953488</v>
          </cell>
          <cell r="C49">
            <v>32.29255813953488</v>
          </cell>
          <cell r="D49">
            <v>0</v>
          </cell>
          <cell r="E49">
            <v>2.4214279069767457</v>
          </cell>
          <cell r="F49">
            <v>34.10957209302325</v>
          </cell>
          <cell r="G49">
            <v>-5.326991345810583</v>
          </cell>
          <cell r="I49">
            <v>198.834</v>
          </cell>
          <cell r="J49">
            <v>198.55100000000002</v>
          </cell>
          <cell r="K49">
            <v>0.28299999999998704</v>
          </cell>
          <cell r="L49">
            <v>27.65700000000001</v>
          </cell>
          <cell r="M49">
            <v>175.28199999999998</v>
          </cell>
          <cell r="N49">
            <v>13.436633539097016</v>
          </cell>
          <cell r="Q49">
            <v>158.179</v>
          </cell>
          <cell r="R49">
            <v>158.14700000000002</v>
          </cell>
          <cell r="S49">
            <v>0.031999999999982265</v>
          </cell>
          <cell r="T49">
            <v>3.6079999999999472</v>
          </cell>
          <cell r="U49">
            <v>149.71200000000002</v>
          </cell>
          <cell r="V49">
            <v>5.655525275195032</v>
          </cell>
        </row>
        <row r="50">
          <cell r="A50">
            <v>39417</v>
          </cell>
          <cell r="B50">
            <v>36.17356744186046</v>
          </cell>
          <cell r="C50">
            <v>34.801372093023254</v>
          </cell>
          <cell r="D50">
            <v>1.3721953488372094</v>
          </cell>
          <cell r="E50">
            <v>3.793623255813955</v>
          </cell>
          <cell r="F50">
            <v>36.41447441860465</v>
          </cell>
          <cell r="G50">
            <v>-0.6615692814204124</v>
          </cell>
          <cell r="I50">
            <v>220.78099999999998</v>
          </cell>
          <cell r="J50">
            <v>210.648</v>
          </cell>
          <cell r="K50">
            <v>10.132999999999981</v>
          </cell>
          <cell r="L50">
            <v>37.78999999999999</v>
          </cell>
          <cell r="M50">
            <v>190.911</v>
          </cell>
          <cell r="N50">
            <v>15.64603401585029</v>
          </cell>
          <cell r="Q50">
            <v>169.146</v>
          </cell>
          <cell r="R50">
            <v>158.453</v>
          </cell>
          <cell r="S50">
            <v>10.692999999999984</v>
          </cell>
          <cell r="T50">
            <v>14.30099999999993</v>
          </cell>
          <cell r="U50">
            <v>161.671</v>
          </cell>
          <cell r="V50">
            <v>4.623587408997281</v>
          </cell>
        </row>
        <row r="51">
          <cell r="A51" t="str">
            <v>NOV</v>
          </cell>
          <cell r="B51">
            <v>128.31352093023256</v>
          </cell>
          <cell r="C51">
            <v>126.82532558139533</v>
          </cell>
          <cell r="F51">
            <v>135.03977674418604</v>
          </cell>
          <cell r="G51">
            <v>-4.980944115966253</v>
          </cell>
          <cell r="I51">
            <v>815.211</v>
          </cell>
          <cell r="J51">
            <v>804.6020000000001</v>
          </cell>
          <cell r="M51">
            <v>734.4659999999999</v>
          </cell>
          <cell r="N51">
            <v>10.993701546429662</v>
          </cell>
          <cell r="Q51">
            <v>646.4999999999999</v>
          </cell>
          <cell r="R51">
            <v>635.575</v>
          </cell>
          <cell r="U51">
            <v>605.057</v>
          </cell>
          <cell r="V51">
            <v>6.84943732573953</v>
          </cell>
        </row>
        <row r="52">
          <cell r="A52">
            <v>39424</v>
          </cell>
          <cell r="B52">
            <v>34.19113953488372</v>
          </cell>
          <cell r="C52">
            <v>33.36113953488372</v>
          </cell>
          <cell r="D52">
            <v>0.8299999999999983</v>
          </cell>
          <cell r="E52">
            <v>4.623623255813953</v>
          </cell>
          <cell r="F52">
            <v>33.26019069767442</v>
          </cell>
          <cell r="G52">
            <v>2.7989882730119007</v>
          </cell>
          <cell r="I52">
            <v>201.377</v>
          </cell>
          <cell r="J52">
            <v>194.614</v>
          </cell>
          <cell r="K52">
            <v>6.763000000000005</v>
          </cell>
          <cell r="L52">
            <v>44.553</v>
          </cell>
          <cell r="M52">
            <v>182.966</v>
          </cell>
          <cell r="N52">
            <v>10.062525277920486</v>
          </cell>
          <cell r="Q52">
            <v>158.844</v>
          </cell>
          <cell r="R52">
            <v>153.895</v>
          </cell>
          <cell r="S52">
            <v>4.948999999999984</v>
          </cell>
          <cell r="T52">
            <v>19.249999999999915</v>
          </cell>
          <cell r="U52">
            <v>158.41899999999998</v>
          </cell>
          <cell r="V52">
            <v>0.2682759012492255</v>
          </cell>
        </row>
        <row r="53">
          <cell r="A53">
            <v>39431</v>
          </cell>
          <cell r="B53">
            <v>33.49479069767442</v>
          </cell>
          <cell r="C53">
            <v>32.97733440352468</v>
          </cell>
          <cell r="D53">
            <v>0.5174562941497385</v>
          </cell>
          <cell r="E53">
            <v>5.141079549963692</v>
          </cell>
          <cell r="F53">
            <v>33.18840465116279</v>
          </cell>
          <cell r="G53">
            <v>0.9231719624127663</v>
          </cell>
          <cell r="I53">
            <v>228.438</v>
          </cell>
          <cell r="J53">
            <v>206.99454594834822</v>
          </cell>
          <cell r="K53">
            <v>21.44345405165177</v>
          </cell>
          <cell r="L53">
            <v>65.99645405165177</v>
          </cell>
          <cell r="M53">
            <v>195.373</v>
          </cell>
          <cell r="N53">
            <v>16.924037610109906</v>
          </cell>
          <cell r="Q53">
            <v>174.255</v>
          </cell>
          <cell r="R53">
            <v>172.63720345772268</v>
          </cell>
          <cell r="S53">
            <v>1.6177965422773184</v>
          </cell>
          <cell r="T53">
            <v>20.867796542277233</v>
          </cell>
          <cell r="U53">
            <v>169.738</v>
          </cell>
          <cell r="V53">
            <v>2.6611601409230587</v>
          </cell>
        </row>
        <row r="54">
          <cell r="A54">
            <v>39438</v>
          </cell>
          <cell r="B54">
            <v>28.25453488372093</v>
          </cell>
          <cell r="C54">
            <v>29.85704853039795</v>
          </cell>
          <cell r="D54">
            <v>-1.6025136466770213</v>
          </cell>
          <cell r="E54">
            <v>3.5385659032866705</v>
          </cell>
          <cell r="F54">
            <v>25.806162790697673</v>
          </cell>
          <cell r="G54">
            <v>9.487548043778986</v>
          </cell>
          <cell r="I54">
            <v>268.1</v>
          </cell>
          <cell r="J54">
            <v>193.93854772603822</v>
          </cell>
          <cell r="K54">
            <v>74.1614522739618</v>
          </cell>
          <cell r="L54">
            <v>140.15790632561357</v>
          </cell>
          <cell r="M54">
            <v>206.648</v>
          </cell>
          <cell r="N54">
            <v>29.737524679648487</v>
          </cell>
          <cell r="Q54">
            <v>160.523</v>
          </cell>
          <cell r="R54">
            <v>146.75679313033342</v>
          </cell>
          <cell r="S54">
            <v>13.766206869666576</v>
          </cell>
          <cell r="T54">
            <v>34.63400341194381</v>
          </cell>
          <cell r="U54">
            <v>143.341</v>
          </cell>
          <cell r="V54">
            <v>11.98680070600875</v>
          </cell>
        </row>
        <row r="55">
          <cell r="A55">
            <v>39445</v>
          </cell>
          <cell r="B55">
            <v>13.532232558139535</v>
          </cell>
          <cell r="C55">
            <v>18.52898192604329</v>
          </cell>
          <cell r="D55">
            <v>-4.996749367903755</v>
          </cell>
          <cell r="E55">
            <v>-1.4581834646170844</v>
          </cell>
          <cell r="F55">
            <v>15.550600000000001</v>
          </cell>
          <cell r="G55">
            <v>-12.979354120487102</v>
          </cell>
          <cell r="I55">
            <v>140.623</v>
          </cell>
          <cell r="J55">
            <v>129.18299313614145</v>
          </cell>
          <cell r="K55">
            <v>11.440006863858542</v>
          </cell>
          <cell r="L55">
            <v>151.5979131894721</v>
          </cell>
          <cell r="M55">
            <v>164.379</v>
          </cell>
          <cell r="N55">
            <v>-14.451967708770582</v>
          </cell>
          <cell r="Q55">
            <v>80.59100000000001</v>
          </cell>
          <cell r="R55">
            <v>84.93406702190606</v>
          </cell>
          <cell r="S55">
            <v>-4.343067021906052</v>
          </cell>
          <cell r="T55">
            <v>30.290936390037757</v>
          </cell>
          <cell r="U55">
            <v>88.105</v>
          </cell>
          <cell r="V55">
            <v>-8.528460359797961</v>
          </cell>
        </row>
        <row r="56">
          <cell r="A56" t="str">
            <v>DEC</v>
          </cell>
          <cell r="B56">
            <v>109.4726976744186</v>
          </cell>
          <cell r="C56">
            <v>114.72450439484963</v>
          </cell>
          <cell r="F56">
            <v>107.80535813953489</v>
          </cell>
          <cell r="G56">
            <v>1.5466202827559243</v>
          </cell>
          <cell r="I56">
            <v>838.538</v>
          </cell>
          <cell r="J56">
            <v>724.730086810528</v>
          </cell>
          <cell r="M56">
            <v>749.366</v>
          </cell>
          <cell r="N56">
            <v>11.899659178558949</v>
          </cell>
          <cell r="Q56">
            <v>574.213</v>
          </cell>
          <cell r="R56">
            <v>558.2230636099621</v>
          </cell>
          <cell r="U56">
            <v>559.603</v>
          </cell>
          <cell r="V56">
            <v>2.6107794275584695</v>
          </cell>
        </row>
        <row r="61">
          <cell r="A61" t="str">
            <v> </v>
          </cell>
          <cell r="B61" t="str">
            <v>     CATTLE FORECASTS</v>
          </cell>
          <cell r="I61" t="str">
            <v>     SHEEP FORECASTS</v>
          </cell>
          <cell r="Q61" t="str">
            <v>     PIG FORECASTS</v>
          </cell>
        </row>
        <row r="62">
          <cell r="B62" t="str">
            <v>       Current year</v>
          </cell>
          <cell r="F62" t="str">
            <v>         Previous year</v>
          </cell>
          <cell r="I62" t="str">
            <v>       Current year</v>
          </cell>
          <cell r="M62" t="str">
            <v>         Previous year</v>
          </cell>
          <cell r="Q62" t="str">
            <v>       Current year</v>
          </cell>
          <cell r="U62" t="str">
            <v>         Previous year</v>
          </cell>
        </row>
        <row r="63">
          <cell r="B63" t="str">
            <v>Actual</v>
          </cell>
          <cell r="C63" t="str">
            <v>Forecast</v>
          </cell>
          <cell r="D63" t="str">
            <v>Deviation</v>
          </cell>
          <cell r="E63" t="str">
            <v>CuSum</v>
          </cell>
          <cell r="F63" t="str">
            <v>Actual</v>
          </cell>
          <cell r="G63" t="str">
            <v>change</v>
          </cell>
          <cell r="I63" t="str">
            <v>Actual</v>
          </cell>
          <cell r="J63" t="str">
            <v>Forecast</v>
          </cell>
          <cell r="K63" t="str">
            <v>Deviation</v>
          </cell>
          <cell r="L63" t="str">
            <v>CuSum</v>
          </cell>
          <cell r="M63" t="str">
            <v>Actual</v>
          </cell>
          <cell r="N63" t="str">
            <v>change</v>
          </cell>
          <cell r="Q63" t="str">
            <v>Actual</v>
          </cell>
          <cell r="R63" t="str">
            <v>Forecast</v>
          </cell>
          <cell r="S63" t="str">
            <v>Deviation</v>
          </cell>
          <cell r="T63" t="str">
            <v>CuSum</v>
          </cell>
          <cell r="U63" t="str">
            <v>Actual</v>
          </cell>
          <cell r="V63" t="str">
            <v>change</v>
          </cell>
        </row>
        <row r="64">
          <cell r="B64" t="str">
            <v>     000 head</v>
          </cell>
          <cell r="G64" t="str">
            <v>%</v>
          </cell>
          <cell r="N64" t="str">
            <v>%</v>
          </cell>
          <cell r="V64" t="str">
            <v>%</v>
          </cell>
        </row>
        <row r="65">
          <cell r="A65" t="str">
            <v>week ending:</v>
          </cell>
        </row>
        <row r="66">
          <cell r="A66">
            <v>39452</v>
          </cell>
          <cell r="B66">
            <v>22.898627906976746</v>
          </cell>
          <cell r="C66">
            <v>21.827047665210788</v>
          </cell>
          <cell r="D66">
            <v>1.0715802417659575</v>
          </cell>
          <cell r="E66">
            <v>-0.3866032228511269</v>
          </cell>
          <cell r="F66">
            <v>25.269660465116278</v>
          </cell>
          <cell r="G66">
            <v>-9.382922106977432</v>
          </cell>
          <cell r="I66">
            <v>187.762</v>
          </cell>
          <cell r="J66">
            <v>132.4902381116982</v>
          </cell>
          <cell r="K66">
            <v>55.271761888301796</v>
          </cell>
          <cell r="L66">
            <v>206.8696750777739</v>
          </cell>
          <cell r="M66">
            <v>168.136</v>
          </cell>
          <cell r="N66">
            <v>11.672693533805983</v>
          </cell>
          <cell r="Q66">
            <v>122.339</v>
          </cell>
          <cell r="R66">
            <v>117.68833122539561</v>
          </cell>
          <cell r="S66">
            <v>4.650668774604384</v>
          </cell>
          <cell r="T66">
            <v>34.94160516464214</v>
          </cell>
          <cell r="U66">
            <v>125.601</v>
          </cell>
          <cell r="V66">
            <v>-2.5971130803098674</v>
          </cell>
        </row>
        <row r="67">
          <cell r="A67">
            <v>39459</v>
          </cell>
          <cell r="B67">
            <v>30.804172093023258</v>
          </cell>
          <cell r="C67">
            <v>27</v>
          </cell>
          <cell r="D67">
            <v>3.804172093023258</v>
          </cell>
          <cell r="E67">
            <v>3.417568870172131</v>
          </cell>
          <cell r="F67">
            <v>31.29447441860465</v>
          </cell>
          <cell r="G67">
            <v>-1.5667376899287575</v>
          </cell>
          <cell r="I67">
            <v>191.047</v>
          </cell>
          <cell r="J67">
            <v>185</v>
          </cell>
          <cell r="K67">
            <v>6.046999999999997</v>
          </cell>
          <cell r="L67">
            <v>212.9166750777739</v>
          </cell>
          <cell r="M67">
            <v>156.83</v>
          </cell>
          <cell r="N67">
            <v>21.817891984951856</v>
          </cell>
          <cell r="Q67">
            <v>143.829</v>
          </cell>
          <cell r="R67">
            <v>135</v>
          </cell>
          <cell r="S67">
            <v>8.829000000000008</v>
          </cell>
          <cell r="T67">
            <v>43.77060516464215</v>
          </cell>
          <cell r="U67">
            <v>138.371</v>
          </cell>
          <cell r="V67">
            <v>3.944468132773494</v>
          </cell>
        </row>
        <row r="68">
          <cell r="A68">
            <v>39466</v>
          </cell>
          <cell r="B68">
            <v>32.30294418604651</v>
          </cell>
          <cell r="C68">
            <v>28</v>
          </cell>
          <cell r="D68">
            <v>4.30294418604651</v>
          </cell>
          <cell r="E68">
            <v>7.720513056218641</v>
          </cell>
          <cell r="F68">
            <v>32.343744186046514</v>
          </cell>
          <cell r="G68">
            <v>-0.12614495021144023</v>
          </cell>
          <cell r="I68">
            <v>178.697</v>
          </cell>
          <cell r="J68">
            <v>174</v>
          </cell>
          <cell r="K68">
            <v>4.697000000000003</v>
          </cell>
          <cell r="L68">
            <v>217.6136750777739</v>
          </cell>
          <cell r="M68">
            <v>147.227</v>
          </cell>
          <cell r="N68">
            <v>21.37515537231623</v>
          </cell>
          <cell r="Q68">
            <v>146.571</v>
          </cell>
          <cell r="R68">
            <v>136</v>
          </cell>
          <cell r="S68">
            <v>10.570999999999998</v>
          </cell>
          <cell r="T68">
            <v>54.34160516464215</v>
          </cell>
          <cell r="U68">
            <v>139.002</v>
          </cell>
          <cell r="V68">
            <v>5.4452453921526285</v>
          </cell>
        </row>
        <row r="69">
          <cell r="A69">
            <v>39473</v>
          </cell>
          <cell r="B69">
            <v>31.64610697674419</v>
          </cell>
          <cell r="C69">
            <v>27</v>
          </cell>
          <cell r="D69">
            <v>4.646106976744189</v>
          </cell>
          <cell r="E69">
            <v>12.36662003296283</v>
          </cell>
          <cell r="F69">
            <v>31.434562790697672</v>
          </cell>
          <cell r="G69">
            <v>0.672966846890958</v>
          </cell>
          <cell r="I69">
            <v>181.42700000000002</v>
          </cell>
          <cell r="J69">
            <v>174</v>
          </cell>
          <cell r="K69">
            <v>7.427000000000021</v>
          </cell>
          <cell r="L69">
            <v>225.04067507777393</v>
          </cell>
          <cell r="M69">
            <v>148.18900000000002</v>
          </cell>
          <cell r="N69">
            <v>22.429465075005567</v>
          </cell>
          <cell r="Q69">
            <v>151.036</v>
          </cell>
          <cell r="R69">
            <v>136</v>
          </cell>
          <cell r="S69">
            <v>15.036000000000001</v>
          </cell>
          <cell r="T69">
            <v>69.37760516464215</v>
          </cell>
          <cell r="U69">
            <v>138.287</v>
          </cell>
          <cell r="V69">
            <v>9.219232465813846</v>
          </cell>
        </row>
        <row r="70">
          <cell r="A70">
            <v>39480</v>
          </cell>
          <cell r="B70">
            <v>32.876241860465115</v>
          </cell>
          <cell r="C70">
            <v>27.172952334789215</v>
          </cell>
          <cell r="D70">
            <v>5.703289525675899</v>
          </cell>
          <cell r="E70">
            <v>18.069909558638727</v>
          </cell>
          <cell r="F70">
            <v>33.14527441860465</v>
          </cell>
          <cell r="G70">
            <v>-0.8116769671049298</v>
          </cell>
          <cell r="I70">
            <v>195.482</v>
          </cell>
          <cell r="J70">
            <v>278.5097618883017</v>
          </cell>
          <cell r="K70">
            <v>-83.02776188830168</v>
          </cell>
          <cell r="L70">
            <v>142.01291318947224</v>
          </cell>
          <cell r="M70">
            <v>185.362</v>
          </cell>
          <cell r="N70">
            <v>5.459587186154664</v>
          </cell>
          <cell r="Q70">
            <v>155.68</v>
          </cell>
          <cell r="R70">
            <v>146.3116687746044</v>
          </cell>
          <cell r="S70">
            <v>9.368331225395593</v>
          </cell>
          <cell r="T70">
            <v>78.74593639003774</v>
          </cell>
          <cell r="U70">
            <v>146.069</v>
          </cell>
          <cell r="V70">
            <v>6.579767096372265</v>
          </cell>
        </row>
        <row r="71">
          <cell r="A71" t="str">
            <v>JAN</v>
          </cell>
          <cell r="B71">
            <v>150.52809302325582</v>
          </cell>
          <cell r="C71">
            <v>131</v>
          </cell>
          <cell r="F71">
            <v>153.48771627906976</v>
          </cell>
          <cell r="G71">
            <v>-1.9282476328156406</v>
          </cell>
          <cell r="I71">
            <v>934.415</v>
          </cell>
          <cell r="J71">
            <v>943.9999999999999</v>
          </cell>
          <cell r="M71">
            <v>805.744</v>
          </cell>
          <cell r="N71">
            <v>15.969216028912399</v>
          </cell>
          <cell r="Q71">
            <v>719.4550000000002</v>
          </cell>
          <cell r="R71">
            <v>671</v>
          </cell>
          <cell r="U71">
            <v>687.3299999999999</v>
          </cell>
          <cell r="V71">
            <v>4.673882996522806</v>
          </cell>
        </row>
        <row r="72">
          <cell r="A72">
            <v>39487</v>
          </cell>
          <cell r="B72">
            <v>29.739506976744188</v>
          </cell>
          <cell r="C72">
            <v>26</v>
          </cell>
          <cell r="D72">
            <v>3.739506976744188</v>
          </cell>
          <cell r="E72">
            <v>21.809416535382915</v>
          </cell>
          <cell r="F72">
            <v>29.71979069767442</v>
          </cell>
          <cell r="G72">
            <v>0.0663405717433676</v>
          </cell>
          <cell r="I72">
            <v>179.10500000000002</v>
          </cell>
          <cell r="J72">
            <v>184</v>
          </cell>
          <cell r="K72">
            <v>-4.894999999999982</v>
          </cell>
          <cell r="L72">
            <v>137.11791318947226</v>
          </cell>
          <cell r="M72">
            <v>155.9</v>
          </cell>
          <cell r="N72">
            <v>14.884541372674803</v>
          </cell>
          <cell r="Q72">
            <v>146.658</v>
          </cell>
          <cell r="R72">
            <v>143.6</v>
          </cell>
          <cell r="S72">
            <v>3.0579999999999927</v>
          </cell>
          <cell r="T72">
            <v>81.80393639003773</v>
          </cell>
          <cell r="U72">
            <v>141.015</v>
          </cell>
          <cell r="V72">
            <v>4.001701946601429</v>
          </cell>
        </row>
        <row r="73">
          <cell r="A73">
            <v>39494</v>
          </cell>
          <cell r="B73">
            <v>30.24878604651163</v>
          </cell>
          <cell r="C73">
            <v>26</v>
          </cell>
          <cell r="D73">
            <v>4.248786046511629</v>
          </cell>
          <cell r="E73">
            <v>26.058202581894545</v>
          </cell>
          <cell r="F73">
            <v>29.360972093023253</v>
          </cell>
          <cell r="G73">
            <v>3.023789371399374</v>
          </cell>
          <cell r="I73">
            <v>180.628</v>
          </cell>
          <cell r="J73">
            <v>183</v>
          </cell>
          <cell r="K73">
            <v>-2.372000000000014</v>
          </cell>
          <cell r="L73">
            <v>134.74591318947225</v>
          </cell>
          <cell r="M73">
            <v>155.485</v>
          </cell>
          <cell r="N73">
            <v>16.170691706595463</v>
          </cell>
          <cell r="Q73">
            <v>147.753</v>
          </cell>
          <cell r="R73">
            <v>144.6</v>
          </cell>
          <cell r="S73">
            <v>3.1529999999999916</v>
          </cell>
          <cell r="T73">
            <v>84.95693639003773</v>
          </cell>
          <cell r="U73">
            <v>141.893</v>
          </cell>
          <cell r="V73">
            <v>4.129872509567065</v>
          </cell>
        </row>
        <row r="74">
          <cell r="A74">
            <v>39501</v>
          </cell>
          <cell r="B74">
            <v>30.69681395348837</v>
          </cell>
          <cell r="C74">
            <v>26</v>
          </cell>
          <cell r="D74">
            <v>4.69681395348837</v>
          </cell>
          <cell r="E74">
            <v>30.755016535382914</v>
          </cell>
          <cell r="F74">
            <v>30.30961395348837</v>
          </cell>
          <cell r="G74">
            <v>1.2774824535679556</v>
          </cell>
          <cell r="I74">
            <v>181.57299999999998</v>
          </cell>
          <cell r="J74">
            <v>183</v>
          </cell>
          <cell r="K74">
            <v>-1.427000000000021</v>
          </cell>
          <cell r="L74">
            <v>133.31891318947223</v>
          </cell>
          <cell r="M74">
            <v>154.643</v>
          </cell>
          <cell r="N74">
            <v>17.41430261958186</v>
          </cell>
          <cell r="Q74">
            <v>150.22899999999998</v>
          </cell>
          <cell r="R74">
            <v>143.6</v>
          </cell>
          <cell r="S74">
            <v>6.628999999999991</v>
          </cell>
          <cell r="T74">
            <v>91.58593639003772</v>
          </cell>
          <cell r="U74">
            <v>142.118</v>
          </cell>
          <cell r="V74">
            <v>5.707229203900994</v>
          </cell>
        </row>
        <row r="75">
          <cell r="A75">
            <v>39508</v>
          </cell>
          <cell r="B75">
            <v>31.796102325581394</v>
          </cell>
          <cell r="C75">
            <v>27</v>
          </cell>
          <cell r="D75">
            <v>4.796102325581394</v>
          </cell>
          <cell r="E75">
            <v>35.55111886096431</v>
          </cell>
          <cell r="F75">
            <v>31.77512558139535</v>
          </cell>
          <cell r="G75">
            <v>0.06601624321611155</v>
          </cell>
          <cell r="I75">
            <v>198.406</v>
          </cell>
          <cell r="J75">
            <v>201</v>
          </cell>
          <cell r="K75">
            <v>-2.593999999999994</v>
          </cell>
          <cell r="L75">
            <v>130.72491318947223</v>
          </cell>
          <cell r="M75">
            <v>170.477</v>
          </cell>
          <cell r="N75">
            <v>16.382855165212902</v>
          </cell>
          <cell r="Q75">
            <v>150.518</v>
          </cell>
          <cell r="R75">
            <v>150.20000000000005</v>
          </cell>
          <cell r="S75">
            <v>0.3179999999999552</v>
          </cell>
          <cell r="T75">
            <v>91.90393639003767</v>
          </cell>
          <cell r="U75">
            <v>148.048</v>
          </cell>
          <cell r="V75">
            <v>1.6683778234086333</v>
          </cell>
        </row>
        <row r="76">
          <cell r="A76" t="str">
            <v>FEB</v>
          </cell>
          <cell r="B76">
            <v>122.4812093023256</v>
          </cell>
          <cell r="C76">
            <v>105</v>
          </cell>
          <cell r="F76">
            <v>121.1655023255814</v>
          </cell>
          <cell r="G76">
            <v>1.0858758899944974</v>
          </cell>
          <cell r="I76">
            <v>739.712</v>
          </cell>
          <cell r="J76">
            <v>751</v>
          </cell>
          <cell r="M76">
            <v>636.505</v>
          </cell>
          <cell r="N76">
            <v>16.2146408904879</v>
          </cell>
          <cell r="Q76">
            <v>595.1579999999999</v>
          </cell>
          <cell r="R76">
            <v>582</v>
          </cell>
          <cell r="U76">
            <v>573.0740000000001</v>
          </cell>
          <cell r="V76">
            <v>3.853603548581816</v>
          </cell>
        </row>
        <row r="77">
          <cell r="A77">
            <v>39515</v>
          </cell>
          <cell r="B77">
            <v>29.075553488372094</v>
          </cell>
          <cell r="C77">
            <v>26</v>
          </cell>
          <cell r="D77">
            <v>3.075553488372094</v>
          </cell>
          <cell r="E77">
            <v>38.6266723493364</v>
          </cell>
          <cell r="F77">
            <v>29.574627906976744</v>
          </cell>
          <cell r="G77">
            <v>-1.6875086989240486</v>
          </cell>
          <cell r="I77">
            <v>181.679</v>
          </cell>
          <cell r="J77">
            <v>177</v>
          </cell>
          <cell r="K77">
            <v>4.679000000000002</v>
          </cell>
          <cell r="L77">
            <v>135.40391318947223</v>
          </cell>
          <cell r="M77">
            <v>161.53900000000002</v>
          </cell>
          <cell r="N77">
            <v>12.467577489027406</v>
          </cell>
          <cell r="Q77">
            <v>149.35399999999998</v>
          </cell>
          <cell r="R77">
            <v>139.5</v>
          </cell>
          <cell r="S77">
            <v>9.853999999999985</v>
          </cell>
          <cell r="T77">
            <v>101.75793639003766</v>
          </cell>
          <cell r="U77">
            <v>144.513</v>
          </cell>
          <cell r="V77">
            <v>3.349871637845723</v>
          </cell>
        </row>
        <row r="78">
          <cell r="A78">
            <v>39522</v>
          </cell>
          <cell r="B78">
            <v>29.77348372093023</v>
          </cell>
          <cell r="C78">
            <v>25</v>
          </cell>
          <cell r="D78">
            <v>4.77348372093023</v>
          </cell>
          <cell r="E78">
            <v>43.40015607026663</v>
          </cell>
          <cell r="F78">
            <v>28.8596</v>
          </cell>
          <cell r="G78">
            <v>3.1666541495038985</v>
          </cell>
          <cell r="I78">
            <v>198.669</v>
          </cell>
          <cell r="J78">
            <v>186</v>
          </cell>
          <cell r="K78">
            <v>12.669000000000011</v>
          </cell>
          <cell r="L78">
            <v>148.07291318947225</v>
          </cell>
          <cell r="M78">
            <v>169.68599999999998</v>
          </cell>
          <cell r="N78">
            <v>17.08037198118882</v>
          </cell>
          <cell r="Q78">
            <v>149.115</v>
          </cell>
          <cell r="R78">
            <v>139.5</v>
          </cell>
          <cell r="S78">
            <v>9.615000000000009</v>
          </cell>
          <cell r="T78">
            <v>111.37293639003767</v>
          </cell>
          <cell r="U78">
            <v>144.737</v>
          </cell>
          <cell r="V78">
            <v>3.024796700221799</v>
          </cell>
        </row>
        <row r="79">
          <cell r="A79">
            <v>39529</v>
          </cell>
          <cell r="B79">
            <v>25.67799534883721</v>
          </cell>
          <cell r="C79">
            <v>25</v>
          </cell>
          <cell r="D79">
            <v>0.6779953488372108</v>
          </cell>
          <cell r="E79">
            <v>44.07815141910385</v>
          </cell>
          <cell r="F79">
            <v>28.215618604651162</v>
          </cell>
          <cell r="G79">
            <v>-8.993682865402931</v>
          </cell>
          <cell r="I79">
            <v>185.04399999999998</v>
          </cell>
          <cell r="J79">
            <v>179</v>
          </cell>
          <cell r="K79">
            <v>6.043999999999983</v>
          </cell>
          <cell r="L79">
            <v>154.11691318947223</v>
          </cell>
          <cell r="M79">
            <v>163.287</v>
          </cell>
          <cell r="N79">
            <v>13.324392021410134</v>
          </cell>
          <cell r="Q79">
            <v>133.273</v>
          </cell>
          <cell r="R79">
            <v>138.5</v>
          </cell>
          <cell r="S79">
            <v>-5.227000000000004</v>
          </cell>
          <cell r="T79">
            <v>106.14593639003766</v>
          </cell>
          <cell r="U79">
            <v>143.377</v>
          </cell>
          <cell r="V79">
            <v>-7.047155401493981</v>
          </cell>
        </row>
        <row r="80">
          <cell r="A80">
            <v>39536</v>
          </cell>
          <cell r="B80">
            <v>26.967078822864913</v>
          </cell>
          <cell r="C80">
            <v>26</v>
          </cell>
          <cell r="D80">
            <v>0.967078822864913</v>
          </cell>
          <cell r="E80">
            <v>45.04523024196876</v>
          </cell>
          <cell r="F80">
            <v>28.60179534883721</v>
          </cell>
          <cell r="G80">
            <v>-5.7154332657609075</v>
          </cell>
          <cell r="I80">
            <v>176.75421488302732</v>
          </cell>
          <cell r="J80">
            <v>210</v>
          </cell>
          <cell r="K80">
            <v>-33.245785116972684</v>
          </cell>
          <cell r="L80">
            <v>120.87112807249954</v>
          </cell>
          <cell r="M80">
            <v>193.182</v>
          </cell>
          <cell r="N80">
            <v>-8.50378664522195</v>
          </cell>
          <cell r="Q80">
            <v>140.84016606582315</v>
          </cell>
          <cell r="R80">
            <v>142.5</v>
          </cell>
          <cell r="S80">
            <v>-1.659833934176845</v>
          </cell>
          <cell r="T80">
            <v>104.48610245586082</v>
          </cell>
          <cell r="U80">
            <v>147.093</v>
          </cell>
          <cell r="V80">
            <v>-4.2509391569801664</v>
          </cell>
        </row>
        <row r="81">
          <cell r="A81" t="str">
            <v>MAR</v>
          </cell>
          <cell r="B81">
            <v>111.49411138100444</v>
          </cell>
          <cell r="C81">
            <v>102</v>
          </cell>
          <cell r="F81">
            <v>115.25164186046513</v>
          </cell>
          <cell r="G81">
            <v>-3.260283687767256</v>
          </cell>
          <cell r="I81">
            <v>742.1462148830274</v>
          </cell>
          <cell r="J81">
            <v>752</v>
          </cell>
          <cell r="M81">
            <v>687.6940000000001</v>
          </cell>
          <cell r="N81">
            <v>7.918087824385168</v>
          </cell>
          <cell r="Q81">
            <v>572.5821660658231</v>
          </cell>
          <cell r="R81">
            <v>560</v>
          </cell>
          <cell r="U81">
            <v>579.72</v>
          </cell>
          <cell r="V81">
            <v>-1.2312554223033345</v>
          </cell>
        </row>
        <row r="83">
          <cell r="A83" t="str">
            <v>YEAR</v>
          </cell>
          <cell r="B83">
            <v>1464.8490602182137</v>
          </cell>
          <cell r="C83">
            <v>1419.8038299762452</v>
          </cell>
          <cell r="F83">
            <v>1507.4168093023252</v>
          </cell>
          <cell r="G83">
            <v>-2.8238871174465032</v>
          </cell>
          <cell r="I83">
            <v>9410.948214883032</v>
          </cell>
          <cell r="J83">
            <v>9290.077086810528</v>
          </cell>
          <cell r="M83">
            <v>9067.220000000003</v>
          </cell>
          <cell r="N83">
            <v>3.7908886613871715</v>
          </cell>
          <cell r="Q83">
            <v>7427.55416606582</v>
          </cell>
          <cell r="R83">
            <v>7323.068063609963</v>
          </cell>
          <cell r="U83">
            <v>7282.357</v>
          </cell>
          <cell r="V83">
            <v>1.9938210398888714</v>
          </cell>
        </row>
        <row r="85">
          <cell r="A85" t="str">
            <v>Notes: 1. "Actual" slaughterings are based on MLC levy returns.</v>
          </cell>
        </row>
        <row r="86">
          <cell r="A86" t="str">
            <v>            2. A negative deviation indicates that the forecast was too high and a positive deviation that the forecast was too low.</v>
          </cell>
        </row>
        <row r="87">
          <cell r="A87" t="str">
            <v>Source: MLC Economic and Policy Analysis Group.</v>
          </cell>
        </row>
        <row r="92">
          <cell r="A92" t="str">
            <v> </v>
          </cell>
        </row>
      </sheetData>
      <sheetData sheetId="5">
        <row r="1">
          <cell r="A1" t="str">
            <v>2007/08 WALES LEVY MONITOR</v>
          </cell>
        </row>
        <row r="2">
          <cell r="A2" t="str">
            <v>Based on January 2008 forecasts</v>
          </cell>
          <cell r="R2" t="str">
            <v> </v>
          </cell>
        </row>
        <row r="4">
          <cell r="B4" t="str">
            <v>     CATTLE FORECASTS</v>
          </cell>
          <cell r="I4" t="str">
            <v>     SHEEP FORECASTS</v>
          </cell>
          <cell r="Q4" t="str">
            <v>     PIG FORECASTS</v>
          </cell>
        </row>
        <row r="5">
          <cell r="B5" t="str">
            <v>       Current year</v>
          </cell>
          <cell r="F5" t="str">
            <v>         Previous year</v>
          </cell>
          <cell r="I5" t="str">
            <v>       Current year</v>
          </cell>
          <cell r="M5" t="str">
            <v>         Previous year</v>
          </cell>
          <cell r="Q5" t="str">
            <v>       Current year</v>
          </cell>
          <cell r="U5" t="str">
            <v>         Previous year</v>
          </cell>
        </row>
        <row r="6">
          <cell r="B6" t="str">
            <v>Actual</v>
          </cell>
          <cell r="C6" t="str">
            <v>Forecast</v>
          </cell>
          <cell r="D6" t="str">
            <v>Deviation</v>
          </cell>
          <cell r="E6" t="str">
            <v>CuSum</v>
          </cell>
          <cell r="F6" t="str">
            <v>Actual</v>
          </cell>
          <cell r="G6" t="str">
            <v>change</v>
          </cell>
          <cell r="I6" t="str">
            <v>Actual</v>
          </cell>
          <cell r="J6" t="str">
            <v>Forecast</v>
          </cell>
          <cell r="K6" t="str">
            <v>Deviation</v>
          </cell>
          <cell r="L6" t="str">
            <v>CuSum</v>
          </cell>
          <cell r="M6" t="str">
            <v>Actual</v>
          </cell>
          <cell r="N6" t="str">
            <v>change</v>
          </cell>
          <cell r="Q6" t="str">
            <v>Actual</v>
          </cell>
          <cell r="R6" t="str">
            <v>Forecast</v>
          </cell>
          <cell r="S6" t="str">
            <v>Deviation</v>
          </cell>
          <cell r="T6" t="str">
            <v>CuSum</v>
          </cell>
          <cell r="U6" t="str">
            <v>Actual</v>
          </cell>
          <cell r="V6" t="str">
            <v>change</v>
          </cell>
        </row>
        <row r="7">
          <cell r="B7" t="str">
            <v>     000 head</v>
          </cell>
          <cell r="G7" t="str">
            <v>%</v>
          </cell>
          <cell r="N7" t="str">
            <v>%</v>
          </cell>
          <cell r="V7" t="str">
            <v>%</v>
          </cell>
        </row>
        <row r="8">
          <cell r="A8" t="str">
            <v>week ending:</v>
          </cell>
        </row>
        <row r="9">
          <cell r="A9">
            <v>39179</v>
          </cell>
          <cell r="B9">
            <v>2.1040837209302325</v>
          </cell>
          <cell r="C9">
            <v>2.1040837209302325</v>
          </cell>
          <cell r="D9">
            <v>0</v>
          </cell>
          <cell r="E9">
            <v>0</v>
          </cell>
          <cell r="F9">
            <v>2.634013953488372</v>
          </cell>
          <cell r="G9">
            <v>-20.118732926844345</v>
          </cell>
          <cell r="I9">
            <v>55.519</v>
          </cell>
          <cell r="J9">
            <v>55.519</v>
          </cell>
          <cell r="K9">
            <v>0</v>
          </cell>
          <cell r="L9">
            <v>0</v>
          </cell>
          <cell r="M9">
            <v>69.616</v>
          </cell>
          <cell r="N9">
            <v>-20.249655251666283</v>
          </cell>
          <cell r="Q9">
            <v>0.349</v>
          </cell>
          <cell r="R9">
            <v>0.349</v>
          </cell>
          <cell r="S9">
            <v>0</v>
          </cell>
          <cell r="T9">
            <v>0</v>
          </cell>
          <cell r="U9">
            <v>0.368</v>
          </cell>
          <cell r="V9">
            <v>-5.1630434782608745</v>
          </cell>
        </row>
        <row r="10">
          <cell r="A10">
            <v>39186</v>
          </cell>
          <cell r="B10">
            <v>2.1130418604651164</v>
          </cell>
          <cell r="C10">
            <v>2.1130418604651164</v>
          </cell>
          <cell r="D10">
            <v>0</v>
          </cell>
          <cell r="E10">
            <v>0</v>
          </cell>
          <cell r="F10">
            <v>2.3315162790697674</v>
          </cell>
          <cell r="G10">
            <v>-9.370486518405016</v>
          </cell>
          <cell r="I10">
            <v>57.569</v>
          </cell>
          <cell r="J10">
            <v>57.569</v>
          </cell>
          <cell r="K10">
            <v>0</v>
          </cell>
          <cell r="L10">
            <v>0</v>
          </cell>
          <cell r="M10">
            <v>66.212</v>
          </cell>
          <cell r="N10">
            <v>-13.053525040778098</v>
          </cell>
          <cell r="Q10">
            <v>0.402</v>
          </cell>
          <cell r="R10">
            <v>0.402</v>
          </cell>
          <cell r="S10">
            <v>0</v>
          </cell>
          <cell r="T10">
            <v>0</v>
          </cell>
          <cell r="U10">
            <v>0.331</v>
          </cell>
          <cell r="V10">
            <v>21.450151057401825</v>
          </cell>
        </row>
        <row r="11">
          <cell r="A11">
            <v>39193</v>
          </cell>
          <cell r="B11">
            <v>2.651539534883721</v>
          </cell>
          <cell r="C11">
            <v>2.651539534883721</v>
          </cell>
          <cell r="D11">
            <v>0</v>
          </cell>
          <cell r="E11">
            <v>0</v>
          </cell>
          <cell r="F11">
            <v>1.8712093023255814</v>
          </cell>
          <cell r="G11">
            <v>41.70192140389253</v>
          </cell>
          <cell r="I11">
            <v>62.148</v>
          </cell>
          <cell r="J11">
            <v>62.148</v>
          </cell>
          <cell r="K11">
            <v>0</v>
          </cell>
          <cell r="L11">
            <v>0</v>
          </cell>
          <cell r="M11">
            <v>57.717999999999996</v>
          </cell>
          <cell r="N11">
            <v>7.675248622613424</v>
          </cell>
          <cell r="Q11">
            <v>0.45</v>
          </cell>
          <cell r="R11">
            <v>0.45</v>
          </cell>
          <cell r="S11">
            <v>0</v>
          </cell>
          <cell r="T11">
            <v>0</v>
          </cell>
          <cell r="U11">
            <v>0.449</v>
          </cell>
          <cell r="V11">
            <v>0.22271714922048602</v>
          </cell>
        </row>
        <row r="12">
          <cell r="A12">
            <v>39200</v>
          </cell>
          <cell r="B12">
            <v>2.7277581395348838</v>
          </cell>
          <cell r="C12">
            <v>2.7277581395348838</v>
          </cell>
          <cell r="D12">
            <v>0</v>
          </cell>
          <cell r="E12">
            <v>0</v>
          </cell>
          <cell r="F12">
            <v>2.8432093023255813</v>
          </cell>
          <cell r="G12">
            <v>-4.060593171816976</v>
          </cell>
          <cell r="I12">
            <v>59.125</v>
          </cell>
          <cell r="J12">
            <v>59.125</v>
          </cell>
          <cell r="K12">
            <v>0</v>
          </cell>
          <cell r="L12">
            <v>0</v>
          </cell>
          <cell r="M12">
            <v>68.283</v>
          </cell>
          <cell r="N12">
            <v>-13.411830177350154</v>
          </cell>
          <cell r="Q12">
            <v>0.449</v>
          </cell>
          <cell r="R12">
            <v>0.449</v>
          </cell>
          <cell r="S12">
            <v>0</v>
          </cell>
          <cell r="T12">
            <v>0</v>
          </cell>
          <cell r="U12">
            <v>0.386</v>
          </cell>
          <cell r="V12">
            <v>16.321243523316056</v>
          </cell>
        </row>
        <row r="13">
          <cell r="A13">
            <v>39207</v>
          </cell>
          <cell r="B13">
            <v>2.8824279069767442</v>
          </cell>
          <cell r="C13">
            <v>2.8824279069767442</v>
          </cell>
          <cell r="D13">
            <v>0</v>
          </cell>
          <cell r="E13">
            <v>0</v>
          </cell>
          <cell r="F13">
            <v>2.581679069767442</v>
          </cell>
          <cell r="G13">
            <v>11.649350251593972</v>
          </cell>
          <cell r="I13">
            <v>70.965</v>
          </cell>
          <cell r="J13">
            <v>70.965</v>
          </cell>
          <cell r="K13">
            <v>0</v>
          </cell>
          <cell r="L13">
            <v>0</v>
          </cell>
          <cell r="M13">
            <v>63.173</v>
          </cell>
          <cell r="N13">
            <v>12.33438335997974</v>
          </cell>
          <cell r="Q13">
            <v>0.902</v>
          </cell>
          <cell r="R13">
            <v>0.902</v>
          </cell>
          <cell r="S13">
            <v>0</v>
          </cell>
          <cell r="T13">
            <v>0</v>
          </cell>
          <cell r="U13">
            <v>0.831</v>
          </cell>
          <cell r="V13">
            <v>8.5439229843562</v>
          </cell>
        </row>
        <row r="14">
          <cell r="A14" t="str">
            <v>APR</v>
          </cell>
          <cell r="B14">
            <v>12.478851162790697</v>
          </cell>
          <cell r="C14">
            <v>12.478851162790697</v>
          </cell>
          <cell r="F14">
            <v>12.261627906976745</v>
          </cell>
          <cell r="G14">
            <v>1.771569464201022</v>
          </cell>
          <cell r="I14">
            <v>305.326</v>
          </cell>
          <cell r="J14">
            <v>305.326</v>
          </cell>
          <cell r="M14">
            <v>325.002</v>
          </cell>
          <cell r="N14">
            <v>-6.054116590051748</v>
          </cell>
          <cell r="Q14">
            <v>2.552</v>
          </cell>
          <cell r="R14">
            <v>2.552</v>
          </cell>
          <cell r="U14">
            <v>2.365</v>
          </cell>
          <cell r="V14">
            <v>7.906976744186039</v>
          </cell>
        </row>
        <row r="15">
          <cell r="A15">
            <v>39214</v>
          </cell>
          <cell r="B15">
            <v>2.3190837209302324</v>
          </cell>
          <cell r="C15">
            <v>2.3190837209302324</v>
          </cell>
          <cell r="D15">
            <v>0</v>
          </cell>
          <cell r="E15">
            <v>0</v>
          </cell>
          <cell r="F15">
            <v>2.763906976744186</v>
          </cell>
          <cell r="G15">
            <v>-16.094002423263333</v>
          </cell>
          <cell r="I15">
            <v>60.51</v>
          </cell>
          <cell r="J15">
            <v>60.51</v>
          </cell>
          <cell r="K15">
            <v>0</v>
          </cell>
          <cell r="L15">
            <v>0</v>
          </cell>
          <cell r="M15">
            <v>69.54299999999999</v>
          </cell>
          <cell r="N15">
            <v>-12.989085889305883</v>
          </cell>
          <cell r="Q15">
            <v>0.47</v>
          </cell>
          <cell r="R15">
            <v>0.47</v>
          </cell>
          <cell r="S15">
            <v>0</v>
          </cell>
          <cell r="T15">
            <v>0</v>
          </cell>
          <cell r="U15">
            <v>0.34</v>
          </cell>
          <cell r="V15">
            <v>38.235294117647044</v>
          </cell>
        </row>
        <row r="16">
          <cell r="A16">
            <v>39221</v>
          </cell>
          <cell r="B16">
            <v>2.5080837209302325</v>
          </cell>
          <cell r="C16">
            <v>2.5080837209302325</v>
          </cell>
          <cell r="D16">
            <v>0</v>
          </cell>
          <cell r="E16">
            <v>0</v>
          </cell>
          <cell r="F16">
            <v>2.791079069767442</v>
          </cell>
          <cell r="G16">
            <v>-10.139280964934798</v>
          </cell>
          <cell r="I16">
            <v>65.137</v>
          </cell>
          <cell r="J16">
            <v>65.137</v>
          </cell>
          <cell r="K16">
            <v>0</v>
          </cell>
          <cell r="L16">
            <v>0</v>
          </cell>
          <cell r="M16">
            <v>57.023</v>
          </cell>
          <cell r="N16">
            <v>14.229346053346887</v>
          </cell>
          <cell r="Q16">
            <v>0.502</v>
          </cell>
          <cell r="R16">
            <v>0.502</v>
          </cell>
          <cell r="S16">
            <v>0</v>
          </cell>
          <cell r="T16">
            <v>0</v>
          </cell>
          <cell r="U16">
            <v>0.40299999999999997</v>
          </cell>
          <cell r="V16">
            <v>24.56575682382136</v>
          </cell>
        </row>
        <row r="17">
          <cell r="A17">
            <v>39228</v>
          </cell>
          <cell r="B17">
            <v>2.383432558139535</v>
          </cell>
          <cell r="C17">
            <v>2.383432558139535</v>
          </cell>
          <cell r="D17">
            <v>0</v>
          </cell>
          <cell r="E17">
            <v>0</v>
          </cell>
          <cell r="F17">
            <v>2.7041488372093023</v>
          </cell>
          <cell r="G17">
            <v>-11.860156314500372</v>
          </cell>
          <cell r="I17">
            <v>68.405</v>
          </cell>
          <cell r="J17">
            <v>68.405</v>
          </cell>
          <cell r="K17">
            <v>0</v>
          </cell>
          <cell r="L17">
            <v>0</v>
          </cell>
          <cell r="M17">
            <v>56.827</v>
          </cell>
          <cell r="N17">
            <v>20.374117936896212</v>
          </cell>
          <cell r="Q17">
            <v>0.47700000000000004</v>
          </cell>
          <cell r="R17">
            <v>0.47700000000000004</v>
          </cell>
          <cell r="S17">
            <v>0</v>
          </cell>
          <cell r="T17">
            <v>0</v>
          </cell>
          <cell r="U17">
            <v>0.38</v>
          </cell>
          <cell r="V17">
            <v>25.526315789473685</v>
          </cell>
        </row>
        <row r="18">
          <cell r="A18">
            <v>39235</v>
          </cell>
          <cell r="B18">
            <v>2.4096046511627907</v>
          </cell>
          <cell r="C18">
            <v>2.4096046511627907</v>
          </cell>
          <cell r="D18">
            <v>0</v>
          </cell>
          <cell r="E18">
            <v>0</v>
          </cell>
          <cell r="F18">
            <v>2.4555674418604654</v>
          </cell>
          <cell r="G18">
            <v>-1.8717787959776473</v>
          </cell>
          <cell r="I18">
            <v>66.57199999999999</v>
          </cell>
          <cell r="J18">
            <v>66.57199999999999</v>
          </cell>
          <cell r="K18">
            <v>0</v>
          </cell>
          <cell r="L18">
            <v>0</v>
          </cell>
          <cell r="M18">
            <v>52.142</v>
          </cell>
          <cell r="N18">
            <v>27.674427524836005</v>
          </cell>
          <cell r="Q18">
            <v>0.805</v>
          </cell>
          <cell r="R18">
            <v>0.805</v>
          </cell>
          <cell r="S18">
            <v>0</v>
          </cell>
          <cell r="T18">
            <v>0</v>
          </cell>
          <cell r="U18">
            <v>0.882</v>
          </cell>
          <cell r="V18">
            <v>-8.73015873015872</v>
          </cell>
        </row>
        <row r="19">
          <cell r="A19" t="str">
            <v>MAY</v>
          </cell>
          <cell r="B19">
            <v>9.62020465116279</v>
          </cell>
          <cell r="C19">
            <v>9.62020465116279</v>
          </cell>
          <cell r="F19">
            <v>10.714702325581396</v>
          </cell>
          <cell r="G19">
            <v>-10.214914434024806</v>
          </cell>
          <cell r="I19">
            <v>260.62399999999997</v>
          </cell>
          <cell r="J19">
            <v>260.62399999999997</v>
          </cell>
          <cell r="M19">
            <v>235.535</v>
          </cell>
          <cell r="N19">
            <v>10.651920096800893</v>
          </cell>
          <cell r="Q19">
            <v>2.254</v>
          </cell>
          <cell r="R19">
            <v>2.254</v>
          </cell>
          <cell r="U19">
            <v>2.005</v>
          </cell>
          <cell r="V19">
            <v>12.418952618453872</v>
          </cell>
        </row>
        <row r="20">
          <cell r="A20">
            <v>39242</v>
          </cell>
          <cell r="B20">
            <v>2.325432558139535</v>
          </cell>
          <cell r="C20">
            <v>2.325432558139535</v>
          </cell>
          <cell r="D20">
            <v>0</v>
          </cell>
          <cell r="E20">
            <v>0</v>
          </cell>
          <cell r="F20">
            <v>2.28673488372093</v>
          </cell>
          <cell r="G20">
            <v>1.692267638635812</v>
          </cell>
          <cell r="I20">
            <v>73.938</v>
          </cell>
          <cell r="J20">
            <v>73.938</v>
          </cell>
          <cell r="K20">
            <v>0</v>
          </cell>
          <cell r="L20">
            <v>0</v>
          </cell>
          <cell r="M20">
            <v>58.24699999999999</v>
          </cell>
          <cell r="N20">
            <v>26.938726458015026</v>
          </cell>
          <cell r="Q20">
            <v>0.46799999999999997</v>
          </cell>
          <cell r="R20">
            <v>0.46799999999999997</v>
          </cell>
          <cell r="S20">
            <v>0</v>
          </cell>
          <cell r="T20">
            <v>0</v>
          </cell>
          <cell r="U20">
            <v>0.37200000000000005</v>
          </cell>
          <cell r="V20">
            <v>25.806451612903203</v>
          </cell>
        </row>
        <row r="21">
          <cell r="A21">
            <v>39249</v>
          </cell>
          <cell r="B21">
            <v>2.4844558139534882</v>
          </cell>
          <cell r="C21">
            <v>2.4844558139534882</v>
          </cell>
          <cell r="D21">
            <v>0</v>
          </cell>
          <cell r="E21">
            <v>0</v>
          </cell>
          <cell r="F21">
            <v>2.6236046511627906</v>
          </cell>
          <cell r="G21">
            <v>-5.303727341222356</v>
          </cell>
          <cell r="I21">
            <v>76.444</v>
          </cell>
          <cell r="J21">
            <v>76.444</v>
          </cell>
          <cell r="K21">
            <v>0</v>
          </cell>
          <cell r="L21">
            <v>0</v>
          </cell>
          <cell r="M21">
            <v>61.227</v>
          </cell>
          <cell r="N21">
            <v>24.853414343345264</v>
          </cell>
          <cell r="Q21">
            <v>0.43799999999999994</v>
          </cell>
          <cell r="R21">
            <v>0.43799999999999994</v>
          </cell>
          <cell r="S21">
            <v>0</v>
          </cell>
          <cell r="T21">
            <v>0</v>
          </cell>
          <cell r="U21">
            <v>0.41600000000000004</v>
          </cell>
          <cell r="V21">
            <v>5.288461538461519</v>
          </cell>
        </row>
        <row r="22">
          <cell r="A22">
            <v>39256</v>
          </cell>
          <cell r="B22">
            <v>2.3375627906976746</v>
          </cell>
          <cell r="C22">
            <v>2.3375627906976746</v>
          </cell>
          <cell r="D22">
            <v>0</v>
          </cell>
          <cell r="E22">
            <v>0</v>
          </cell>
          <cell r="F22">
            <v>2.666279069767442</v>
          </cell>
          <cell r="G22">
            <v>-12.328652420409938</v>
          </cell>
          <cell r="I22">
            <v>71.515</v>
          </cell>
          <cell r="J22">
            <v>71.515</v>
          </cell>
          <cell r="K22">
            <v>0</v>
          </cell>
          <cell r="L22">
            <v>0</v>
          </cell>
          <cell r="M22">
            <v>65.637</v>
          </cell>
          <cell r="N22">
            <v>8.955314837667785</v>
          </cell>
          <cell r="Q22">
            <v>0.486</v>
          </cell>
          <cell r="R22">
            <v>0.486</v>
          </cell>
          <cell r="S22">
            <v>0</v>
          </cell>
          <cell r="T22">
            <v>0</v>
          </cell>
          <cell r="U22">
            <v>0.39399999999999996</v>
          </cell>
          <cell r="V22">
            <v>23.350253807106597</v>
          </cell>
        </row>
        <row r="23">
          <cell r="A23">
            <v>39263</v>
          </cell>
          <cell r="B23">
            <v>2.801386046511628</v>
          </cell>
          <cell r="C23">
            <v>2.801386046511628</v>
          </cell>
          <cell r="D23">
            <v>0</v>
          </cell>
          <cell r="E23">
            <v>0</v>
          </cell>
          <cell r="F23">
            <v>3.085413953488372</v>
          </cell>
          <cell r="G23">
            <v>-9.205504067148667</v>
          </cell>
          <cell r="I23">
            <v>80.976</v>
          </cell>
          <cell r="J23">
            <v>80.976</v>
          </cell>
          <cell r="K23">
            <v>0</v>
          </cell>
          <cell r="L23">
            <v>0</v>
          </cell>
          <cell r="M23">
            <v>77.509</v>
          </cell>
          <cell r="N23">
            <v>4.473028938574856</v>
          </cell>
          <cell r="Q23">
            <v>0.99</v>
          </cell>
          <cell r="R23">
            <v>0.99</v>
          </cell>
          <cell r="S23">
            <v>0</v>
          </cell>
          <cell r="T23">
            <v>0</v>
          </cell>
          <cell r="U23">
            <v>1.0390000000000001</v>
          </cell>
          <cell r="V23">
            <v>-4.716073147256992</v>
          </cell>
        </row>
        <row r="24">
          <cell r="A24" t="str">
            <v>JUN</v>
          </cell>
          <cell r="B24">
            <v>9.948837209302326</v>
          </cell>
          <cell r="C24">
            <v>9.948837209302326</v>
          </cell>
          <cell r="F24">
            <v>10.662032558139535</v>
          </cell>
          <cell r="G24">
            <v>-6.689112464703044</v>
          </cell>
          <cell r="I24">
            <v>302.873</v>
          </cell>
          <cell r="J24">
            <v>302.873</v>
          </cell>
          <cell r="M24">
            <v>262.62</v>
          </cell>
          <cell r="N24">
            <v>15.327469347345968</v>
          </cell>
          <cell r="Q24">
            <v>2.3819999999999997</v>
          </cell>
          <cell r="R24">
            <v>2.3819999999999997</v>
          </cell>
          <cell r="U24">
            <v>2.221</v>
          </cell>
          <cell r="V24">
            <v>7.248986942818519</v>
          </cell>
        </row>
        <row r="25">
          <cell r="A25">
            <v>39270</v>
          </cell>
          <cell r="B25">
            <v>2.492237209302326</v>
          </cell>
          <cell r="C25">
            <v>2.492237209302326</v>
          </cell>
          <cell r="D25">
            <v>0</v>
          </cell>
          <cell r="E25">
            <v>0</v>
          </cell>
          <cell r="F25">
            <v>2.715646511627907</v>
          </cell>
          <cell r="G25">
            <v>-8.226744584355245</v>
          </cell>
          <cell r="I25">
            <v>85.124</v>
          </cell>
          <cell r="J25">
            <v>85.124</v>
          </cell>
          <cell r="K25">
            <v>0</v>
          </cell>
          <cell r="L25">
            <v>0</v>
          </cell>
          <cell r="M25">
            <v>79</v>
          </cell>
          <cell r="N25">
            <v>7.751898734177203</v>
          </cell>
          <cell r="Q25">
            <v>0.591</v>
          </cell>
          <cell r="R25">
            <v>0.591</v>
          </cell>
          <cell r="S25">
            <v>0</v>
          </cell>
          <cell r="T25">
            <v>0</v>
          </cell>
          <cell r="U25">
            <v>0.55</v>
          </cell>
          <cell r="V25">
            <v>7.454545454545453</v>
          </cell>
        </row>
        <row r="26">
          <cell r="A26">
            <v>39277</v>
          </cell>
          <cell r="B26">
            <v>2.567758139534884</v>
          </cell>
          <cell r="C26">
            <v>2.567758139534884</v>
          </cell>
          <cell r="D26">
            <v>0</v>
          </cell>
          <cell r="E26">
            <v>0</v>
          </cell>
          <cell r="F26">
            <v>2.831190697674419</v>
          </cell>
          <cell r="G26">
            <v>-9.304656106560472</v>
          </cell>
          <cell r="I26">
            <v>88.681</v>
          </cell>
          <cell r="J26">
            <v>88.681</v>
          </cell>
          <cell r="K26">
            <v>0</v>
          </cell>
          <cell r="L26">
            <v>0</v>
          </cell>
          <cell r="M26">
            <v>82.847</v>
          </cell>
          <cell r="N26">
            <v>7.0418965080208125</v>
          </cell>
          <cell r="Q26">
            <v>0.617</v>
          </cell>
          <cell r="R26">
            <v>0.617</v>
          </cell>
          <cell r="S26">
            <v>0</v>
          </cell>
          <cell r="T26">
            <v>0</v>
          </cell>
          <cell r="U26">
            <v>0.622</v>
          </cell>
          <cell r="V26">
            <v>-0.8038585209003202</v>
          </cell>
        </row>
        <row r="27">
          <cell r="A27">
            <v>39284</v>
          </cell>
          <cell r="B27">
            <v>2.4632558139534884</v>
          </cell>
          <cell r="C27">
            <v>2.4632558139534884</v>
          </cell>
          <cell r="D27">
            <v>0</v>
          </cell>
          <cell r="E27">
            <v>0</v>
          </cell>
          <cell r="F27">
            <v>2.8628837209302325</v>
          </cell>
          <cell r="G27">
            <v>-13.958929035612172</v>
          </cell>
          <cell r="I27">
            <v>93.03099999999999</v>
          </cell>
          <cell r="J27">
            <v>93.03099999999999</v>
          </cell>
          <cell r="K27">
            <v>0</v>
          </cell>
          <cell r="L27">
            <v>0</v>
          </cell>
          <cell r="M27">
            <v>83.50999999999999</v>
          </cell>
          <cell r="N27">
            <v>11.401029816788409</v>
          </cell>
          <cell r="Q27">
            <v>0.894</v>
          </cell>
          <cell r="R27">
            <v>0.894</v>
          </cell>
          <cell r="S27">
            <v>0</v>
          </cell>
          <cell r="T27">
            <v>0</v>
          </cell>
          <cell r="U27">
            <v>0.551</v>
          </cell>
          <cell r="V27">
            <v>62.25045372050815</v>
          </cell>
        </row>
        <row r="28">
          <cell r="A28">
            <v>39291</v>
          </cell>
          <cell r="B28">
            <v>2.317516279069767</v>
          </cell>
          <cell r="C28">
            <v>2.317516279069767</v>
          </cell>
          <cell r="D28">
            <v>0</v>
          </cell>
          <cell r="E28">
            <v>0</v>
          </cell>
          <cell r="F28">
            <v>2.6888</v>
          </cell>
          <cell r="G28">
            <v>-13.808528746289525</v>
          </cell>
          <cell r="I28">
            <v>90.499</v>
          </cell>
          <cell r="J28">
            <v>90.499</v>
          </cell>
          <cell r="K28">
            <v>0</v>
          </cell>
          <cell r="L28">
            <v>0</v>
          </cell>
          <cell r="M28">
            <v>85.473</v>
          </cell>
          <cell r="N28">
            <v>5.880219484515578</v>
          </cell>
          <cell r="Q28">
            <v>0.785</v>
          </cell>
          <cell r="R28">
            <v>0.785</v>
          </cell>
          <cell r="S28">
            <v>0</v>
          </cell>
          <cell r="T28">
            <v>0</v>
          </cell>
          <cell r="U28">
            <v>-0.355</v>
          </cell>
          <cell r="V28">
            <v>-321.1267605633803</v>
          </cell>
        </row>
        <row r="29">
          <cell r="A29">
            <v>39298</v>
          </cell>
          <cell r="B29">
            <v>2.6633813953488374</v>
          </cell>
          <cell r="C29">
            <v>2.6633813953488374</v>
          </cell>
          <cell r="D29">
            <v>0</v>
          </cell>
          <cell r="E29">
            <v>0</v>
          </cell>
          <cell r="F29">
            <v>2.2498930232558143</v>
          </cell>
          <cell r="G29">
            <v>18.378134774366515</v>
          </cell>
          <cell r="I29">
            <v>99.904</v>
          </cell>
          <cell r="J29">
            <v>99.904</v>
          </cell>
          <cell r="K29">
            <v>0</v>
          </cell>
          <cell r="L29">
            <v>0</v>
          </cell>
          <cell r="M29">
            <v>90.83</v>
          </cell>
          <cell r="N29">
            <v>9.990091379500157</v>
          </cell>
          <cell r="Q29">
            <v>0.33299999999999996</v>
          </cell>
          <cell r="R29">
            <v>0.33299999999999996</v>
          </cell>
          <cell r="S29">
            <v>0</v>
          </cell>
          <cell r="T29">
            <v>0</v>
          </cell>
          <cell r="U29">
            <v>0.828</v>
          </cell>
          <cell r="V29">
            <v>-59.78260869565218</v>
          </cell>
        </row>
        <row r="30">
          <cell r="A30" t="str">
            <v>JUL</v>
          </cell>
          <cell r="B30">
            <v>12.504148837209303</v>
          </cell>
          <cell r="C30">
            <v>12.504148837209303</v>
          </cell>
          <cell r="F30">
            <v>13.348413953488375</v>
          </cell>
          <cell r="G30">
            <v>-6.324834689880419</v>
          </cell>
          <cell r="I30">
            <v>457.23900000000003</v>
          </cell>
          <cell r="J30">
            <v>457.23900000000003</v>
          </cell>
          <cell r="M30">
            <v>421.65999999999997</v>
          </cell>
          <cell r="N30">
            <v>8.437840914480873</v>
          </cell>
          <cell r="Q30">
            <v>3.2199999999999998</v>
          </cell>
          <cell r="R30">
            <v>3.22</v>
          </cell>
          <cell r="U30">
            <v>2.196</v>
          </cell>
          <cell r="V30">
            <v>46.630236794171196</v>
          </cell>
        </row>
        <row r="31">
          <cell r="A31">
            <v>39305</v>
          </cell>
          <cell r="B31">
            <v>1.525367441860465</v>
          </cell>
          <cell r="C31">
            <v>1.525367441860465</v>
          </cell>
          <cell r="D31">
            <v>0</v>
          </cell>
          <cell r="E31">
            <v>0</v>
          </cell>
          <cell r="F31">
            <v>2.034539534883721</v>
          </cell>
          <cell r="G31">
            <v>-25.02640446612685</v>
          </cell>
          <cell r="I31">
            <v>41.716</v>
          </cell>
          <cell r="J31">
            <v>41.716</v>
          </cell>
          <cell r="K31">
            <v>0</v>
          </cell>
          <cell r="L31">
            <v>0</v>
          </cell>
          <cell r="M31">
            <v>91.729</v>
          </cell>
          <cell r="N31">
            <v>-54.52256102214131</v>
          </cell>
          <cell r="Q31">
            <v>0.363</v>
          </cell>
          <cell r="R31">
            <v>0.363</v>
          </cell>
          <cell r="S31">
            <v>0</v>
          </cell>
          <cell r="T31">
            <v>0</v>
          </cell>
          <cell r="U31">
            <v>0.348</v>
          </cell>
          <cell r="V31">
            <v>4.310344827586206</v>
          </cell>
        </row>
        <row r="32">
          <cell r="A32">
            <v>39312</v>
          </cell>
          <cell r="B32">
            <v>2.7042325581395352</v>
          </cell>
          <cell r="C32">
            <v>2.7042325581395352</v>
          </cell>
          <cell r="D32">
            <v>0</v>
          </cell>
          <cell r="E32">
            <v>0</v>
          </cell>
          <cell r="F32">
            <v>1.8918186046511627</v>
          </cell>
          <cell r="G32">
            <v>42.94354392598731</v>
          </cell>
          <cell r="I32">
            <v>68.979</v>
          </cell>
          <cell r="J32">
            <v>68.979</v>
          </cell>
          <cell r="K32">
            <v>0</v>
          </cell>
          <cell r="L32">
            <v>0</v>
          </cell>
          <cell r="M32">
            <v>95.775</v>
          </cell>
          <cell r="N32">
            <v>-27.9780736100235</v>
          </cell>
          <cell r="Q32">
            <v>0.41</v>
          </cell>
          <cell r="R32">
            <v>0.41</v>
          </cell>
          <cell r="S32">
            <v>0</v>
          </cell>
          <cell r="T32">
            <v>0</v>
          </cell>
          <cell r="U32">
            <v>0.428</v>
          </cell>
          <cell r="V32">
            <v>-4.205607476635521</v>
          </cell>
        </row>
        <row r="33">
          <cell r="A33">
            <v>39319</v>
          </cell>
          <cell r="B33">
            <v>2.4173209302325582</v>
          </cell>
          <cell r="C33">
            <v>2.4173209302325582</v>
          </cell>
          <cell r="D33">
            <v>0</v>
          </cell>
          <cell r="E33">
            <v>0</v>
          </cell>
          <cell r="F33">
            <v>2.102688372093023</v>
          </cell>
          <cell r="G33">
            <v>14.963347033034125</v>
          </cell>
          <cell r="I33">
            <v>75.232</v>
          </cell>
          <cell r="J33">
            <v>75.232</v>
          </cell>
          <cell r="K33">
            <v>0</v>
          </cell>
          <cell r="L33">
            <v>0</v>
          </cell>
          <cell r="M33">
            <v>102.305</v>
          </cell>
          <cell r="N33">
            <v>-26.463027222520893</v>
          </cell>
          <cell r="Q33">
            <v>0.483</v>
          </cell>
          <cell r="R33">
            <v>0.483</v>
          </cell>
          <cell r="S33">
            <v>0</v>
          </cell>
          <cell r="T33">
            <v>0</v>
          </cell>
          <cell r="U33">
            <v>0.45799999999999996</v>
          </cell>
          <cell r="V33">
            <v>5.4585152838428</v>
          </cell>
        </row>
        <row r="34">
          <cell r="A34">
            <v>39326</v>
          </cell>
          <cell r="B34">
            <v>2.452483720930233</v>
          </cell>
          <cell r="C34">
            <v>2.452483720930233</v>
          </cell>
          <cell r="D34">
            <v>0</v>
          </cell>
          <cell r="E34">
            <v>0</v>
          </cell>
          <cell r="F34">
            <v>2.217446511627907</v>
          </cell>
          <cell r="G34">
            <v>10.599453383422386</v>
          </cell>
          <cell r="I34">
            <v>94.415</v>
          </cell>
          <cell r="J34">
            <v>94.415</v>
          </cell>
          <cell r="K34">
            <v>0</v>
          </cell>
          <cell r="L34">
            <v>0</v>
          </cell>
          <cell r="M34">
            <v>97.992</v>
          </cell>
          <cell r="N34">
            <v>-3.6502979835088496</v>
          </cell>
          <cell r="Q34">
            <v>0.863</v>
          </cell>
          <cell r="R34">
            <v>0.863</v>
          </cell>
          <cell r="S34">
            <v>0</v>
          </cell>
          <cell r="T34">
            <v>0</v>
          </cell>
          <cell r="U34">
            <v>1.058</v>
          </cell>
          <cell r="V34">
            <v>-18.431001890359184</v>
          </cell>
        </row>
        <row r="35">
          <cell r="A35" t="str">
            <v>AUG</v>
          </cell>
          <cell r="B35">
            <v>9.099404651162793</v>
          </cell>
          <cell r="C35">
            <v>9.099404651162793</v>
          </cell>
          <cell r="F35">
            <v>8.246493023255814</v>
          </cell>
          <cell r="G35">
            <v>10.342719329316054</v>
          </cell>
          <cell r="I35">
            <v>280.342</v>
          </cell>
          <cell r="J35">
            <v>280.342</v>
          </cell>
          <cell r="M35">
            <v>387.80100000000004</v>
          </cell>
          <cell r="N35">
            <v>-27.70983055742508</v>
          </cell>
          <cell r="Q35">
            <v>2.1189999999999998</v>
          </cell>
          <cell r="R35">
            <v>2.1189999999999998</v>
          </cell>
          <cell r="U35">
            <v>2.292</v>
          </cell>
          <cell r="V35">
            <v>-7.547993019197207</v>
          </cell>
        </row>
        <row r="36">
          <cell r="A36">
            <v>39333</v>
          </cell>
          <cell r="B36">
            <v>1.5724511627906976</v>
          </cell>
          <cell r="C36">
            <v>1.5724511627906976</v>
          </cell>
          <cell r="D36">
            <v>0</v>
          </cell>
          <cell r="E36">
            <v>0</v>
          </cell>
          <cell r="F36">
            <v>2.522018604651163</v>
          </cell>
          <cell r="G36">
            <v>-37.651087906697114</v>
          </cell>
          <cell r="I36">
            <v>111.996</v>
          </cell>
          <cell r="J36">
            <v>103.996</v>
          </cell>
          <cell r="K36">
            <v>8</v>
          </cell>
          <cell r="L36">
            <v>8</v>
          </cell>
          <cell r="M36">
            <v>109.84700000000001</v>
          </cell>
          <cell r="N36">
            <v>1.9563574790390135</v>
          </cell>
          <cell r="Q36">
            <v>0.46799999999999997</v>
          </cell>
          <cell r="R36">
            <v>0.46799999999999997</v>
          </cell>
          <cell r="S36">
            <v>0</v>
          </cell>
          <cell r="T36">
            <v>0</v>
          </cell>
          <cell r="U36">
            <v>0.465</v>
          </cell>
          <cell r="V36">
            <v>0.6451612903225765</v>
          </cell>
        </row>
        <row r="37">
          <cell r="A37">
            <v>39340</v>
          </cell>
          <cell r="B37">
            <v>1.9374883720930234</v>
          </cell>
          <cell r="C37">
            <v>1.9374883720930234</v>
          </cell>
          <cell r="D37">
            <v>0</v>
          </cell>
          <cell r="E37">
            <v>0</v>
          </cell>
          <cell r="F37">
            <v>1.9550186046511628</v>
          </cell>
          <cell r="G37">
            <v>-0.8966785541801698</v>
          </cell>
          <cell r="I37">
            <v>98.494</v>
          </cell>
          <cell r="J37">
            <v>98.494</v>
          </cell>
          <cell r="K37">
            <v>0</v>
          </cell>
          <cell r="L37">
            <v>8</v>
          </cell>
          <cell r="M37">
            <v>105.76</v>
          </cell>
          <cell r="N37">
            <v>-6.870272314674736</v>
          </cell>
          <cell r="Q37">
            <v>4.702</v>
          </cell>
          <cell r="R37">
            <v>4.702</v>
          </cell>
          <cell r="S37">
            <v>0</v>
          </cell>
          <cell r="T37">
            <v>0</v>
          </cell>
          <cell r="U37">
            <v>0.436</v>
          </cell>
          <cell r="V37">
            <v>978.440366972477</v>
          </cell>
        </row>
        <row r="38">
          <cell r="A38">
            <v>39347</v>
          </cell>
          <cell r="B38">
            <v>2.052460465116279</v>
          </cell>
          <cell r="C38">
            <v>2.052460465116279</v>
          </cell>
          <cell r="D38">
            <v>0</v>
          </cell>
          <cell r="E38">
            <v>0</v>
          </cell>
          <cell r="F38">
            <v>2.0137767441860466</v>
          </cell>
          <cell r="G38">
            <v>1.9209538019503043</v>
          </cell>
          <cell r="I38">
            <v>84.796</v>
          </cell>
          <cell r="J38">
            <v>84.796</v>
          </cell>
          <cell r="K38">
            <v>0</v>
          </cell>
          <cell r="L38">
            <v>8</v>
          </cell>
          <cell r="M38">
            <v>110.645</v>
          </cell>
          <cell r="N38">
            <v>-23.362104026390696</v>
          </cell>
          <cell r="Q38">
            <v>0.584</v>
          </cell>
          <cell r="R38">
            <v>0.584</v>
          </cell>
          <cell r="S38">
            <v>0</v>
          </cell>
          <cell r="T38">
            <v>0</v>
          </cell>
          <cell r="U38">
            <v>0.368</v>
          </cell>
          <cell r="V38">
            <v>58.69565217391303</v>
          </cell>
        </row>
        <row r="39">
          <cell r="A39">
            <v>39354</v>
          </cell>
          <cell r="B39">
            <v>2.531995348837209</v>
          </cell>
          <cell r="C39">
            <v>2.531995348837209</v>
          </cell>
          <cell r="D39">
            <v>0</v>
          </cell>
          <cell r="E39">
            <v>0</v>
          </cell>
          <cell r="F39">
            <v>2.382683720930233</v>
          </cell>
          <cell r="G39">
            <v>6.266531583498747</v>
          </cell>
          <cell r="I39">
            <v>92.517</v>
          </cell>
          <cell r="J39">
            <v>92.517</v>
          </cell>
          <cell r="K39">
            <v>0</v>
          </cell>
          <cell r="L39">
            <v>8</v>
          </cell>
          <cell r="M39">
            <v>123.00699999999999</v>
          </cell>
          <cell r="N39">
            <v>-24.78720723210874</v>
          </cell>
          <cell r="Q39">
            <v>0.418</v>
          </cell>
          <cell r="R39">
            <v>0.418</v>
          </cell>
          <cell r="S39">
            <v>0</v>
          </cell>
          <cell r="T39">
            <v>0</v>
          </cell>
          <cell r="U39">
            <v>0.789</v>
          </cell>
          <cell r="V39">
            <v>-47.021546261089995</v>
          </cell>
        </row>
        <row r="40">
          <cell r="A40" t="str">
            <v>SEP</v>
          </cell>
          <cell r="B40">
            <v>8.09439534883721</v>
          </cell>
          <cell r="C40">
            <v>8.09439534883721</v>
          </cell>
          <cell r="F40">
            <v>8.873497674418605</v>
          </cell>
          <cell r="G40">
            <v>-8.780104014986875</v>
          </cell>
          <cell r="I40">
            <v>387.803</v>
          </cell>
          <cell r="J40">
            <v>379.803</v>
          </cell>
          <cell r="M40">
            <v>449.259</v>
          </cell>
          <cell r="N40">
            <v>-13.67941432447654</v>
          </cell>
          <cell r="Q40">
            <v>6.172</v>
          </cell>
          <cell r="R40">
            <v>6.172</v>
          </cell>
          <cell r="U40">
            <v>2.0580000000000003</v>
          </cell>
          <cell r="V40">
            <v>199.90281827016514</v>
          </cell>
        </row>
        <row r="41">
          <cell r="A41">
            <v>39361</v>
          </cell>
          <cell r="B41">
            <v>2.8619302325581395</v>
          </cell>
          <cell r="C41">
            <v>2.8619302325581395</v>
          </cell>
          <cell r="D41">
            <v>0</v>
          </cell>
          <cell r="E41">
            <v>0</v>
          </cell>
          <cell r="F41">
            <v>2.17793023255814</v>
          </cell>
          <cell r="G41">
            <v>31.405964698721846</v>
          </cell>
          <cell r="I41">
            <v>96.57</v>
          </cell>
          <cell r="J41">
            <v>96.57</v>
          </cell>
          <cell r="K41">
            <v>0</v>
          </cell>
          <cell r="L41">
            <v>8</v>
          </cell>
          <cell r="M41">
            <v>112.742</v>
          </cell>
          <cell r="N41">
            <v>-14.344255024746772</v>
          </cell>
          <cell r="Q41">
            <v>1.035</v>
          </cell>
          <cell r="R41">
            <v>1.035</v>
          </cell>
          <cell r="S41">
            <v>0</v>
          </cell>
          <cell r="T41">
            <v>0</v>
          </cell>
          <cell r="U41">
            <v>0.34</v>
          </cell>
          <cell r="V41">
            <v>204.41176470588232</v>
          </cell>
        </row>
        <row r="42">
          <cell r="A42">
            <v>39368</v>
          </cell>
          <cell r="B42">
            <v>2.3847767441860466</v>
          </cell>
          <cell r="C42">
            <v>2.3847767441860466</v>
          </cell>
          <cell r="D42">
            <v>0</v>
          </cell>
          <cell r="E42">
            <v>0</v>
          </cell>
          <cell r="F42">
            <v>1.9659488372093024</v>
          </cell>
          <cell r="G42">
            <v>21.304110211295097</v>
          </cell>
          <cell r="I42">
            <v>98.155</v>
          </cell>
          <cell r="J42">
            <v>98.155</v>
          </cell>
          <cell r="K42">
            <v>0</v>
          </cell>
          <cell r="L42">
            <v>8</v>
          </cell>
          <cell r="M42">
            <v>116.836</v>
          </cell>
          <cell r="N42">
            <v>-15.989078708617214</v>
          </cell>
          <cell r="Q42">
            <v>0.45899999999999996</v>
          </cell>
          <cell r="R42">
            <v>0.45899999999999996</v>
          </cell>
          <cell r="S42">
            <v>0</v>
          </cell>
          <cell r="T42">
            <v>0</v>
          </cell>
          <cell r="U42">
            <v>0.43700000000000006</v>
          </cell>
          <cell r="V42">
            <v>5.034324942791741</v>
          </cell>
        </row>
        <row r="43">
          <cell r="A43">
            <v>39375</v>
          </cell>
          <cell r="B43">
            <v>2.26873488372093</v>
          </cell>
          <cell r="C43">
            <v>2.26873488372093</v>
          </cell>
          <cell r="D43">
            <v>0</v>
          </cell>
          <cell r="E43">
            <v>0</v>
          </cell>
          <cell r="F43">
            <v>2.197167441860465</v>
          </cell>
          <cell r="G43">
            <v>3.2572593466005912</v>
          </cell>
          <cell r="I43">
            <v>111.114</v>
          </cell>
          <cell r="J43">
            <v>111.114</v>
          </cell>
          <cell r="K43">
            <v>0</v>
          </cell>
          <cell r="L43">
            <v>8</v>
          </cell>
          <cell r="M43">
            <v>117.46300000000001</v>
          </cell>
          <cell r="N43">
            <v>-5.405106288788801</v>
          </cell>
          <cell r="Q43">
            <v>0.434</v>
          </cell>
          <cell r="R43">
            <v>0.434</v>
          </cell>
          <cell r="S43">
            <v>0</v>
          </cell>
          <cell r="T43">
            <v>0</v>
          </cell>
          <cell r="U43">
            <v>0.484</v>
          </cell>
          <cell r="V43">
            <v>-10.330578512396698</v>
          </cell>
        </row>
        <row r="44">
          <cell r="A44">
            <v>39382</v>
          </cell>
          <cell r="B44">
            <v>2.324060465116279</v>
          </cell>
          <cell r="C44">
            <v>2.324060465116279</v>
          </cell>
          <cell r="D44">
            <v>0</v>
          </cell>
          <cell r="E44">
            <v>0</v>
          </cell>
          <cell r="F44">
            <v>2.5122790697674415</v>
          </cell>
          <cell r="G44">
            <v>-7.4919465323804815</v>
          </cell>
          <cell r="I44">
            <v>100.86099999999999</v>
          </cell>
          <cell r="J44">
            <v>100.86099999999999</v>
          </cell>
          <cell r="K44">
            <v>0</v>
          </cell>
          <cell r="L44">
            <v>8</v>
          </cell>
          <cell r="M44">
            <v>108.648</v>
          </cell>
          <cell r="N44">
            <v>-7.167182092629403</v>
          </cell>
          <cell r="Q44">
            <v>0.5329999999999999</v>
          </cell>
          <cell r="R44">
            <v>0.5329999999999999</v>
          </cell>
          <cell r="S44">
            <v>0</v>
          </cell>
          <cell r="T44">
            <v>0</v>
          </cell>
          <cell r="U44">
            <v>0.473</v>
          </cell>
          <cell r="V44">
            <v>12.68498942917546</v>
          </cell>
        </row>
        <row r="45">
          <cell r="A45">
            <v>39389</v>
          </cell>
          <cell r="B45">
            <v>2.99466511627907</v>
          </cell>
          <cell r="C45">
            <v>2.94066511627907</v>
          </cell>
          <cell r="D45">
            <v>0.053999999999999826</v>
          </cell>
          <cell r="E45">
            <v>0.053999999999999826</v>
          </cell>
          <cell r="F45">
            <v>2.759637209302326</v>
          </cell>
          <cell r="G45">
            <v>8.516623351232553</v>
          </cell>
          <cell r="I45">
            <v>116.383</v>
          </cell>
          <cell r="J45">
            <v>115.629</v>
          </cell>
          <cell r="K45">
            <v>0.7539999999999907</v>
          </cell>
          <cell r="L45">
            <v>8.75399999999999</v>
          </cell>
          <cell r="M45">
            <v>108.08500000000001</v>
          </cell>
          <cell r="N45">
            <v>7.677291020955707</v>
          </cell>
          <cell r="Q45">
            <v>0.955</v>
          </cell>
          <cell r="R45">
            <v>0.847</v>
          </cell>
          <cell r="S45">
            <v>0.10799999999999998</v>
          </cell>
          <cell r="T45">
            <v>0.10799999999999998</v>
          </cell>
          <cell r="U45">
            <v>1.012</v>
          </cell>
          <cell r="V45">
            <v>-5.632411067193672</v>
          </cell>
        </row>
        <row r="46">
          <cell r="A46" t="str">
            <v>OCT</v>
          </cell>
          <cell r="B46">
            <v>12.834167441860464</v>
          </cell>
          <cell r="C46">
            <v>12.780167441860463</v>
          </cell>
          <cell r="F46">
            <v>11.612962790697674</v>
          </cell>
          <cell r="G46">
            <v>10.515875002553258</v>
          </cell>
          <cell r="I46">
            <v>523.083</v>
          </cell>
          <cell r="J46">
            <v>522.329</v>
          </cell>
          <cell r="M46">
            <v>563.774</v>
          </cell>
          <cell r="N46">
            <v>-7.2176084743177285</v>
          </cell>
          <cell r="Q46">
            <v>3.4159999999999995</v>
          </cell>
          <cell r="R46">
            <v>3.3079999999999994</v>
          </cell>
          <cell r="U46">
            <v>2.746</v>
          </cell>
          <cell r="V46">
            <v>24.399126001456636</v>
          </cell>
        </row>
        <row r="47">
          <cell r="A47">
            <v>39396</v>
          </cell>
          <cell r="B47">
            <v>2.685139534883721</v>
          </cell>
          <cell r="C47">
            <v>2.685139534883721</v>
          </cell>
          <cell r="D47">
            <v>0</v>
          </cell>
          <cell r="E47">
            <v>0.053999999999999826</v>
          </cell>
          <cell r="F47">
            <v>3.262232558139535</v>
          </cell>
          <cell r="G47">
            <v>-17.690125181784495</v>
          </cell>
          <cell r="I47">
            <v>114.833</v>
          </cell>
          <cell r="J47">
            <v>114.833</v>
          </cell>
          <cell r="K47">
            <v>0</v>
          </cell>
          <cell r="L47">
            <v>8.75399999999999</v>
          </cell>
          <cell r="M47">
            <v>104.204</v>
          </cell>
          <cell r="N47">
            <v>10.200184253963386</v>
          </cell>
          <cell r="Q47">
            <v>0.512</v>
          </cell>
          <cell r="R47">
            <v>0.512</v>
          </cell>
          <cell r="S47">
            <v>0</v>
          </cell>
          <cell r="T47">
            <v>0.10799999999999998</v>
          </cell>
          <cell r="U47">
            <v>0.423</v>
          </cell>
          <cell r="V47">
            <v>21.040189125295512</v>
          </cell>
        </row>
        <row r="48">
          <cell r="A48">
            <v>39403</v>
          </cell>
          <cell r="B48">
            <v>2.580758139534884</v>
          </cell>
          <cell r="C48">
            <v>2.580758139534884</v>
          </cell>
          <cell r="D48">
            <v>0</v>
          </cell>
          <cell r="E48">
            <v>0.053999999999999826</v>
          </cell>
          <cell r="F48">
            <v>2.629953488372093</v>
          </cell>
          <cell r="G48">
            <v>-1.8705786644029274</v>
          </cell>
          <cell r="I48">
            <v>112.195</v>
          </cell>
          <cell r="J48">
            <v>112.195</v>
          </cell>
          <cell r="K48">
            <v>0</v>
          </cell>
          <cell r="L48">
            <v>8.75399999999999</v>
          </cell>
          <cell r="M48">
            <v>110.541</v>
          </cell>
          <cell r="N48">
            <v>1.4962773993359946</v>
          </cell>
          <cell r="Q48">
            <v>0.478</v>
          </cell>
          <cell r="R48">
            <v>0.478</v>
          </cell>
          <cell r="S48">
            <v>0</v>
          </cell>
          <cell r="T48">
            <v>0.10799999999999998</v>
          </cell>
          <cell r="U48">
            <v>0.467</v>
          </cell>
          <cell r="V48">
            <v>2.355460385438974</v>
          </cell>
        </row>
        <row r="49">
          <cell r="A49">
            <v>39410</v>
          </cell>
          <cell r="B49">
            <v>2.493060465116279</v>
          </cell>
          <cell r="C49">
            <v>2.493060465116279</v>
          </cell>
          <cell r="D49">
            <v>0</v>
          </cell>
          <cell r="E49">
            <v>0.053999999999999826</v>
          </cell>
          <cell r="F49">
            <v>2.9804511627906978</v>
          </cell>
          <cell r="G49">
            <v>-16.352916758349366</v>
          </cell>
          <cell r="I49">
            <v>109.388</v>
          </cell>
          <cell r="J49">
            <v>109.388</v>
          </cell>
          <cell r="K49">
            <v>0</v>
          </cell>
          <cell r="L49">
            <v>8.75399999999999</v>
          </cell>
          <cell r="M49">
            <v>102.329</v>
          </cell>
          <cell r="N49">
            <v>6.898337714626351</v>
          </cell>
          <cell r="Q49">
            <v>0.46299999999999997</v>
          </cell>
          <cell r="R49">
            <v>0.46299999999999997</v>
          </cell>
          <cell r="S49">
            <v>0</v>
          </cell>
          <cell r="T49">
            <v>0.10799999999999998</v>
          </cell>
          <cell r="U49">
            <v>0.451</v>
          </cell>
          <cell r="V49">
            <v>2.6607538802660713</v>
          </cell>
        </row>
        <row r="50">
          <cell r="A50">
            <v>39417</v>
          </cell>
          <cell r="B50">
            <v>2.9517023255813952</v>
          </cell>
          <cell r="C50">
            <v>2.9177023255813954</v>
          </cell>
          <cell r="D50">
            <v>0.03399999999999981</v>
          </cell>
          <cell r="E50">
            <v>0.08799999999999963</v>
          </cell>
          <cell r="F50">
            <v>3.136186046511628</v>
          </cell>
          <cell r="G50">
            <v>-5.882422732396037</v>
          </cell>
          <cell r="I50">
            <v>119.087</v>
          </cell>
          <cell r="J50">
            <v>118.49399999999999</v>
          </cell>
          <cell r="K50">
            <v>0.5930000000000177</v>
          </cell>
          <cell r="L50">
            <v>9.347000000000008</v>
          </cell>
          <cell r="M50">
            <v>107.312</v>
          </cell>
          <cell r="N50">
            <v>10.972677799314141</v>
          </cell>
          <cell r="Q50">
            <v>0.971</v>
          </cell>
          <cell r="R50">
            <v>0.863</v>
          </cell>
          <cell r="S50">
            <v>0.10799999999999998</v>
          </cell>
          <cell r="T50">
            <v>0.21599999999999997</v>
          </cell>
          <cell r="U50">
            <v>0.9470000000000001</v>
          </cell>
          <cell r="V50">
            <v>2.534318901795146</v>
          </cell>
        </row>
        <row r="51">
          <cell r="A51" t="str">
            <v>NOV</v>
          </cell>
          <cell r="B51">
            <v>10.71066046511628</v>
          </cell>
          <cell r="C51">
            <v>10.67666046511628</v>
          </cell>
          <cell r="F51">
            <v>12.008823255813954</v>
          </cell>
          <cell r="G51">
            <v>-10.810074917783325</v>
          </cell>
          <cell r="I51">
            <v>455.503</v>
          </cell>
          <cell r="J51">
            <v>454.91</v>
          </cell>
          <cell r="M51">
            <v>424.386</v>
          </cell>
          <cell r="N51">
            <v>7.332239989066551</v>
          </cell>
          <cell r="Q51">
            <v>2.424</v>
          </cell>
          <cell r="R51">
            <v>2.316</v>
          </cell>
          <cell r="U51">
            <v>2.2880000000000003</v>
          </cell>
          <cell r="V51">
            <v>5.944055944055933</v>
          </cell>
        </row>
        <row r="52">
          <cell r="A52">
            <v>39424</v>
          </cell>
          <cell r="B52">
            <v>2.86586511627907</v>
          </cell>
          <cell r="C52">
            <v>2.8358651162790696</v>
          </cell>
          <cell r="D52">
            <v>0.03000000000000025</v>
          </cell>
          <cell r="E52">
            <v>0.11799999999999988</v>
          </cell>
          <cell r="F52">
            <v>2.9987116279069768</v>
          </cell>
          <cell r="G52">
            <v>-4.430119601751443</v>
          </cell>
          <cell r="I52">
            <v>122.75699999999999</v>
          </cell>
          <cell r="J52">
            <v>122.41199999999999</v>
          </cell>
          <cell r="K52">
            <v>0.34499999999999886</v>
          </cell>
          <cell r="L52">
            <v>9.692000000000007</v>
          </cell>
          <cell r="M52">
            <v>98.395</v>
          </cell>
          <cell r="N52">
            <v>24.759388180293712</v>
          </cell>
          <cell r="Q52">
            <v>0.536</v>
          </cell>
          <cell r="R52">
            <v>0.466</v>
          </cell>
          <cell r="S52">
            <v>0.07</v>
          </cell>
          <cell r="T52">
            <v>0.286</v>
          </cell>
          <cell r="U52">
            <v>0.546</v>
          </cell>
          <cell r="V52">
            <v>-1.8315018315018392</v>
          </cell>
        </row>
        <row r="53">
          <cell r="A53">
            <v>39431</v>
          </cell>
          <cell r="B53">
            <v>2.669018604651163</v>
          </cell>
          <cell r="C53">
            <v>2.6827178381187475</v>
          </cell>
          <cell r="D53">
            <v>-0.013699233467584726</v>
          </cell>
          <cell r="E53">
            <v>0.10430076653241516</v>
          </cell>
          <cell r="F53">
            <v>2.860906976744186</v>
          </cell>
          <cell r="G53">
            <v>-6.7072566026386085</v>
          </cell>
          <cell r="I53">
            <v>133.017</v>
          </cell>
          <cell r="J53">
            <v>128.93832278191346</v>
          </cell>
          <cell r="K53">
            <v>4.07867721808654</v>
          </cell>
          <cell r="L53">
            <v>13.770677218086547</v>
          </cell>
          <cell r="M53">
            <v>111.177</v>
          </cell>
          <cell r="N53">
            <v>19.644350899916347</v>
          </cell>
          <cell r="Q53">
            <v>0.7440000000000001</v>
          </cell>
          <cell r="R53">
            <v>0.5</v>
          </cell>
          <cell r="S53">
            <v>0.2440000000000001</v>
          </cell>
          <cell r="T53">
            <v>0.53</v>
          </cell>
          <cell r="U53">
            <v>0.763</v>
          </cell>
          <cell r="V53">
            <v>-2.4901703800786237</v>
          </cell>
        </row>
        <row r="54">
          <cell r="A54">
            <v>39438</v>
          </cell>
          <cell r="B54">
            <v>2.2755209302325583</v>
          </cell>
          <cell r="C54">
            <v>1.3334375081200467</v>
          </cell>
          <cell r="D54">
            <v>0.9420834221125116</v>
          </cell>
          <cell r="E54">
            <v>1.0463841886449268</v>
          </cell>
          <cell r="F54">
            <v>2.166367441860465</v>
          </cell>
          <cell r="G54">
            <v>5.038549152047494</v>
          </cell>
          <cell r="I54">
            <v>127.133</v>
          </cell>
          <cell r="J54">
            <v>114.87608664057612</v>
          </cell>
          <cell r="K54">
            <v>12.256913359423876</v>
          </cell>
          <cell r="L54">
            <v>26.027590577510423</v>
          </cell>
          <cell r="M54">
            <v>92.284</v>
          </cell>
          <cell r="N54">
            <v>37.76277577911662</v>
          </cell>
          <cell r="Q54">
            <v>0.606</v>
          </cell>
          <cell r="R54">
            <v>0.5</v>
          </cell>
          <cell r="S54">
            <v>0.10599999999999998</v>
          </cell>
          <cell r="T54">
            <v>0.636</v>
          </cell>
          <cell r="U54">
            <v>0.457</v>
          </cell>
          <cell r="V54">
            <v>32.6039387308534</v>
          </cell>
        </row>
        <row r="55">
          <cell r="A55">
            <v>39445</v>
          </cell>
          <cell r="B55">
            <v>1.0370000000000001</v>
          </cell>
          <cell r="C55">
            <v>1.4562193776796155</v>
          </cell>
          <cell r="D55">
            <v>-0.41921937767961537</v>
          </cell>
          <cell r="E55">
            <v>0.6271648109653114</v>
          </cell>
          <cell r="F55">
            <v>1.1753023255813955</v>
          </cell>
          <cell r="G55">
            <v>-11.767382959357306</v>
          </cell>
          <cell r="I55">
            <v>55.513999999999996</v>
          </cell>
          <cell r="J55">
            <v>57.089317243118536</v>
          </cell>
          <cell r="K55">
            <v>-1.5753172431185405</v>
          </cell>
          <cell r="L55">
            <v>24.452273334391883</v>
          </cell>
          <cell r="M55">
            <v>59.417</v>
          </cell>
          <cell r="N55">
            <v>-6.568827103354266</v>
          </cell>
          <cell r="Q55">
            <v>0.098</v>
          </cell>
          <cell r="R55">
            <v>0.5</v>
          </cell>
          <cell r="S55">
            <v>-0.402</v>
          </cell>
          <cell r="T55">
            <v>0.23399999999999999</v>
          </cell>
          <cell r="U55">
            <v>0.136</v>
          </cell>
          <cell r="V55">
            <v>-27.941176470588232</v>
          </cell>
        </row>
        <row r="56">
          <cell r="A56" t="str">
            <v>DEC</v>
          </cell>
          <cell r="B56">
            <v>8.847404651162792</v>
          </cell>
          <cell r="C56">
            <v>8.30823984019748</v>
          </cell>
          <cell r="F56">
            <v>9.201288372093021</v>
          </cell>
          <cell r="G56">
            <v>-3.846023585170286</v>
          </cell>
          <cell r="I56">
            <v>438.421</v>
          </cell>
          <cell r="J56">
            <v>423.31572666560817</v>
          </cell>
          <cell r="M56">
            <v>361.273</v>
          </cell>
          <cell r="N56">
            <v>21.354488157155373</v>
          </cell>
          <cell r="Q56">
            <v>1.9840000000000002</v>
          </cell>
          <cell r="R56">
            <v>1.966</v>
          </cell>
          <cell r="U56">
            <v>1.9020000000000001</v>
          </cell>
          <cell r="V56">
            <v>4.3112513144058795</v>
          </cell>
        </row>
        <row r="61">
          <cell r="A61" t="str">
            <v> </v>
          </cell>
          <cell r="B61" t="str">
            <v>     CATTLE FORECASTS</v>
          </cell>
          <cell r="I61" t="str">
            <v>     SHEEP FORECASTS</v>
          </cell>
          <cell r="Q61" t="str">
            <v>     PIG FORECASTS</v>
          </cell>
        </row>
        <row r="62">
          <cell r="B62" t="str">
            <v>       Current year</v>
          </cell>
          <cell r="F62" t="str">
            <v>         Previous year</v>
          </cell>
          <cell r="I62" t="str">
            <v>       Current year</v>
          </cell>
          <cell r="M62" t="str">
            <v>         Previous year</v>
          </cell>
          <cell r="Q62" t="str">
            <v>       Current year</v>
          </cell>
          <cell r="U62" t="str">
            <v>         Previous year</v>
          </cell>
        </row>
        <row r="63">
          <cell r="B63" t="str">
            <v>Actual</v>
          </cell>
          <cell r="C63" t="str">
            <v>Forecast</v>
          </cell>
          <cell r="D63" t="str">
            <v>Deviation</v>
          </cell>
          <cell r="E63" t="str">
            <v>CuSum</v>
          </cell>
          <cell r="F63" t="str">
            <v>Actual</v>
          </cell>
          <cell r="G63" t="str">
            <v>change</v>
          </cell>
          <cell r="I63" t="str">
            <v>Actual</v>
          </cell>
          <cell r="J63" t="str">
            <v>Forecast</v>
          </cell>
          <cell r="K63" t="str">
            <v>Deviation</v>
          </cell>
          <cell r="L63" t="str">
            <v>CuSum</v>
          </cell>
          <cell r="M63" t="str">
            <v>Actual</v>
          </cell>
          <cell r="N63" t="str">
            <v>change</v>
          </cell>
          <cell r="Q63" t="str">
            <v>Actual</v>
          </cell>
          <cell r="R63" t="str">
            <v>Forecast</v>
          </cell>
          <cell r="S63" t="str">
            <v>Deviation</v>
          </cell>
          <cell r="T63" t="str">
            <v>CuSum</v>
          </cell>
          <cell r="U63" t="str">
            <v>Actual</v>
          </cell>
          <cell r="V63" t="str">
            <v>change</v>
          </cell>
        </row>
        <row r="64">
          <cell r="B64" t="str">
            <v>     000 head</v>
          </cell>
          <cell r="G64" t="str">
            <v>%</v>
          </cell>
          <cell r="N64" t="str">
            <v>%</v>
          </cell>
          <cell r="V64" t="str">
            <v>%</v>
          </cell>
        </row>
        <row r="65">
          <cell r="A65" t="str">
            <v>week ending:</v>
          </cell>
        </row>
        <row r="66">
          <cell r="A66">
            <v>39452</v>
          </cell>
          <cell r="B66">
            <v>1.7898651162790697</v>
          </cell>
          <cell r="C66">
            <v>2.1163369559568666</v>
          </cell>
          <cell r="D66">
            <v>-0.3264718396777968</v>
          </cell>
          <cell r="E66">
            <v>0.3006929712875146</v>
          </cell>
          <cell r="F66">
            <v>2.0707953488372093</v>
          </cell>
          <cell r="G66">
            <v>-13.566296288809383</v>
          </cell>
          <cell r="I66">
            <v>88.796</v>
          </cell>
          <cell r="J66">
            <v>83.53647426281722</v>
          </cell>
          <cell r="K66">
            <v>5.259525737182784</v>
          </cell>
          <cell r="L66">
            <v>29.711799071574667</v>
          </cell>
          <cell r="M66">
            <v>69.6</v>
          </cell>
          <cell r="N66">
            <v>27.580459770114956</v>
          </cell>
          <cell r="Q66">
            <v>0.7809999999999999</v>
          </cell>
          <cell r="R66">
            <v>0.5</v>
          </cell>
          <cell r="S66">
            <v>0.2809999999999999</v>
          </cell>
          <cell r="T66">
            <v>0.5149999999999999</v>
          </cell>
          <cell r="U66">
            <v>0.76</v>
          </cell>
          <cell r="V66">
            <v>2.763157894736821</v>
          </cell>
        </row>
        <row r="67">
          <cell r="A67">
            <v>39459</v>
          </cell>
          <cell r="B67">
            <v>2.4997813953488373</v>
          </cell>
          <cell r="C67">
            <v>3</v>
          </cell>
          <cell r="D67">
            <v>-0.5002186046511627</v>
          </cell>
          <cell r="E67">
            <v>-0.19952563336364815</v>
          </cell>
          <cell r="F67">
            <v>2.424693023255814</v>
          </cell>
          <cell r="G67">
            <v>3.096819736471062</v>
          </cell>
          <cell r="I67">
            <v>105.525</v>
          </cell>
          <cell r="J67">
            <v>77</v>
          </cell>
          <cell r="K67">
            <v>28.525000000000006</v>
          </cell>
          <cell r="L67">
            <v>58.23679907157467</v>
          </cell>
          <cell r="M67">
            <v>70.395</v>
          </cell>
          <cell r="N67">
            <v>49.90411250799065</v>
          </cell>
          <cell r="Q67">
            <v>0.442</v>
          </cell>
          <cell r="R67">
            <v>0.4</v>
          </cell>
          <cell r="S67">
            <v>0.04199999999999998</v>
          </cell>
          <cell r="T67">
            <v>0.5569999999999999</v>
          </cell>
          <cell r="U67">
            <v>0.375</v>
          </cell>
          <cell r="V67">
            <v>17.866666666666674</v>
          </cell>
        </row>
        <row r="68">
          <cell r="A68">
            <v>39466</v>
          </cell>
          <cell r="B68">
            <v>2.5682604651162793</v>
          </cell>
          <cell r="C68">
            <v>3</v>
          </cell>
          <cell r="D68">
            <v>-0.43173953488372074</v>
          </cell>
          <cell r="E68">
            <v>-0.6312651682473689</v>
          </cell>
          <cell r="F68">
            <v>2.547474418604651</v>
          </cell>
          <cell r="G68">
            <v>0.8159472126520342</v>
          </cell>
          <cell r="I68">
            <v>95.43</v>
          </cell>
          <cell r="J68">
            <v>77</v>
          </cell>
          <cell r="K68">
            <v>18.430000000000007</v>
          </cell>
          <cell r="L68">
            <v>76.66679907157467</v>
          </cell>
          <cell r="M68">
            <v>70.095</v>
          </cell>
          <cell r="N68">
            <v>36.14380483629361</v>
          </cell>
          <cell r="Q68">
            <v>0.434</v>
          </cell>
          <cell r="R68">
            <v>0.5</v>
          </cell>
          <cell r="S68">
            <v>-0.066</v>
          </cell>
          <cell r="T68">
            <v>0.49099999999999994</v>
          </cell>
          <cell r="U68">
            <v>0.444</v>
          </cell>
          <cell r="V68">
            <v>-2.252252252252248</v>
          </cell>
        </row>
        <row r="69">
          <cell r="A69">
            <v>39473</v>
          </cell>
          <cell r="B69">
            <v>2.7529767441860464</v>
          </cell>
          <cell r="C69">
            <v>3</v>
          </cell>
          <cell r="D69">
            <v>-0.24702325581395357</v>
          </cell>
          <cell r="E69">
            <v>-0.8782884240613225</v>
          </cell>
          <cell r="F69">
            <v>2.6904976744186047</v>
          </cell>
          <cell r="G69">
            <v>2.3222123684214893</v>
          </cell>
          <cell r="I69">
            <v>96.149</v>
          </cell>
          <cell r="J69">
            <v>75</v>
          </cell>
          <cell r="K69">
            <v>21.149</v>
          </cell>
          <cell r="L69">
            <v>97.81579907157467</v>
          </cell>
          <cell r="M69">
            <v>68.254</v>
          </cell>
          <cell r="N69">
            <v>40.86939959562807</v>
          </cell>
          <cell r="Q69">
            <v>0.557</v>
          </cell>
          <cell r="R69">
            <v>0.5</v>
          </cell>
          <cell r="S69">
            <v>0.05700000000000005</v>
          </cell>
          <cell r="T69">
            <v>0.548</v>
          </cell>
          <cell r="U69">
            <v>0.428</v>
          </cell>
          <cell r="V69">
            <v>30.14018691588788</v>
          </cell>
        </row>
        <row r="70">
          <cell r="A70">
            <v>39480</v>
          </cell>
          <cell r="B70">
            <v>2.627493023255814</v>
          </cell>
          <cell r="C70">
            <v>3.883663044043134</v>
          </cell>
          <cell r="D70">
            <v>-1.2561700207873199</v>
          </cell>
          <cell r="E70">
            <v>-2.1344584448486423</v>
          </cell>
          <cell r="F70">
            <v>2.766506976744186</v>
          </cell>
          <cell r="G70">
            <v>-5.024890761416884</v>
          </cell>
          <cell r="I70">
            <v>101.357</v>
          </cell>
          <cell r="J70">
            <v>82.46352573718275</v>
          </cell>
          <cell r="K70">
            <v>18.89347426281725</v>
          </cell>
          <cell r="L70">
            <v>116.70927333439192</v>
          </cell>
          <cell r="M70">
            <v>80.624</v>
          </cell>
          <cell r="N70">
            <v>25.715667791228427</v>
          </cell>
          <cell r="Q70">
            <v>0.547</v>
          </cell>
          <cell r="R70">
            <v>1.1</v>
          </cell>
          <cell r="S70">
            <v>-0.553</v>
          </cell>
          <cell r="T70">
            <v>-0.0050000000000000044</v>
          </cell>
          <cell r="U70">
            <v>0.782</v>
          </cell>
          <cell r="V70">
            <v>-30.051150895140665</v>
          </cell>
        </row>
        <row r="71">
          <cell r="A71" t="str">
            <v>JAN</v>
          </cell>
          <cell r="B71">
            <v>12.238376744186047</v>
          </cell>
          <cell r="C71">
            <v>15</v>
          </cell>
          <cell r="F71">
            <v>12.499967441860464</v>
          </cell>
          <cell r="G71">
            <v>-2.0927310322296506</v>
          </cell>
          <cell r="I71">
            <v>487.25700000000006</v>
          </cell>
          <cell r="J71">
            <v>395</v>
          </cell>
          <cell r="M71">
            <v>358.96799999999996</v>
          </cell>
          <cell r="N71">
            <v>35.738283078157394</v>
          </cell>
          <cell r="Q71">
            <v>2.761</v>
          </cell>
          <cell r="R71">
            <v>3</v>
          </cell>
          <cell r="U71">
            <v>2.789</v>
          </cell>
          <cell r="V71">
            <v>-1.0039440659734709</v>
          </cell>
        </row>
        <row r="72">
          <cell r="A72">
            <v>39487</v>
          </cell>
          <cell r="B72">
            <v>2.5336279069767444</v>
          </cell>
          <cell r="C72">
            <v>3</v>
          </cell>
          <cell r="D72">
            <v>-0.46637209302325555</v>
          </cell>
          <cell r="E72">
            <v>-2.600830537871898</v>
          </cell>
          <cell r="F72">
            <v>2.265018604651163</v>
          </cell>
          <cell r="G72">
            <v>11.859032935711824</v>
          </cell>
          <cell r="I72">
            <v>91.404</v>
          </cell>
          <cell r="J72">
            <v>86</v>
          </cell>
          <cell r="K72">
            <v>5.403999999999996</v>
          </cell>
          <cell r="L72">
            <v>122.11327333439192</v>
          </cell>
          <cell r="M72">
            <v>72.259</v>
          </cell>
          <cell r="N72">
            <v>26.494969484770053</v>
          </cell>
          <cell r="Q72">
            <v>0.64</v>
          </cell>
          <cell r="R72">
            <v>0.4</v>
          </cell>
          <cell r="S72">
            <v>0.24</v>
          </cell>
          <cell r="T72">
            <v>0.235</v>
          </cell>
          <cell r="U72">
            <v>0.42200000000000004</v>
          </cell>
          <cell r="V72">
            <v>51.65876777251185</v>
          </cell>
        </row>
        <row r="73">
          <cell r="A73">
            <v>39494</v>
          </cell>
          <cell r="B73">
            <v>2.563497674418605</v>
          </cell>
          <cell r="C73">
            <v>3</v>
          </cell>
          <cell r="D73">
            <v>-0.4365023255813951</v>
          </cell>
          <cell r="E73">
            <v>-3.037332863453293</v>
          </cell>
          <cell r="F73">
            <v>2.5758651162790698</v>
          </cell>
          <cell r="G73">
            <v>-0.48012769699408864</v>
          </cell>
          <cell r="I73">
            <v>84.504</v>
          </cell>
          <cell r="J73">
            <v>85</v>
          </cell>
          <cell r="K73">
            <v>-0.4959999999999951</v>
          </cell>
          <cell r="L73">
            <v>121.61727333439192</v>
          </cell>
          <cell r="M73">
            <v>70.967</v>
          </cell>
          <cell r="N73">
            <v>19.075063057477436</v>
          </cell>
          <cell r="Q73">
            <v>0.732</v>
          </cell>
          <cell r="R73">
            <v>0.4</v>
          </cell>
          <cell r="S73">
            <v>0.33199999999999996</v>
          </cell>
          <cell r="T73">
            <v>0.567</v>
          </cell>
          <cell r="U73">
            <v>0.45799999999999996</v>
          </cell>
          <cell r="V73">
            <v>59.82532751091705</v>
          </cell>
        </row>
        <row r="74">
          <cell r="A74">
            <v>39501</v>
          </cell>
          <cell r="B74">
            <v>2.5003906976744186</v>
          </cell>
          <cell r="C74">
            <v>3</v>
          </cell>
          <cell r="D74">
            <v>-0.49960930232558143</v>
          </cell>
          <cell r="E74">
            <v>-3.5369421657788744</v>
          </cell>
          <cell r="F74">
            <v>2.5791906976744188</v>
          </cell>
          <cell r="G74">
            <v>-3.055221937294206</v>
          </cell>
          <cell r="I74">
            <v>75.19200000000001</v>
          </cell>
          <cell r="J74">
            <v>79</v>
          </cell>
          <cell r="K74">
            <v>-3.8079999999999927</v>
          </cell>
          <cell r="L74">
            <v>117.80927333439193</v>
          </cell>
          <cell r="M74">
            <v>66.38000000000001</v>
          </cell>
          <cell r="N74">
            <v>13.275082856282012</v>
          </cell>
          <cell r="Q74">
            <v>0.6609999999999999</v>
          </cell>
          <cell r="R74">
            <v>0.4</v>
          </cell>
          <cell r="S74">
            <v>0.2609999999999999</v>
          </cell>
          <cell r="T74">
            <v>0.8279999999999998</v>
          </cell>
          <cell r="U74">
            <v>0.469</v>
          </cell>
          <cell r="V74">
            <v>40.93816631130062</v>
          </cell>
        </row>
        <row r="75">
          <cell r="A75">
            <v>39508</v>
          </cell>
          <cell r="B75">
            <v>2.6945302325581393</v>
          </cell>
          <cell r="C75">
            <v>3</v>
          </cell>
          <cell r="D75">
            <v>-0.3054697674418607</v>
          </cell>
          <cell r="E75">
            <v>-3.842411933220735</v>
          </cell>
          <cell r="F75">
            <v>2.95306511627907</v>
          </cell>
          <cell r="G75">
            <v>-8.754797931672115</v>
          </cell>
          <cell r="I75">
            <v>91.97</v>
          </cell>
          <cell r="J75">
            <v>77</v>
          </cell>
          <cell r="K75">
            <v>14.969999999999999</v>
          </cell>
          <cell r="L75">
            <v>132.77927333439192</v>
          </cell>
          <cell r="M75">
            <v>64.55</v>
          </cell>
          <cell r="N75">
            <v>42.47869868319131</v>
          </cell>
          <cell r="Q75">
            <v>0.8270000000000001</v>
          </cell>
          <cell r="R75">
            <v>0.7999999999999998</v>
          </cell>
          <cell r="S75">
            <v>0.027000000000000246</v>
          </cell>
          <cell r="T75">
            <v>0.8550000000000001</v>
          </cell>
          <cell r="U75">
            <v>0.841</v>
          </cell>
          <cell r="V75">
            <v>-1.6646848989298348</v>
          </cell>
        </row>
        <row r="76">
          <cell r="A76" t="str">
            <v>FEB</v>
          </cell>
          <cell r="B76">
            <v>10.292046511627909</v>
          </cell>
          <cell r="C76">
            <v>12</v>
          </cell>
          <cell r="F76">
            <v>10.373139534883721</v>
          </cell>
          <cell r="G76">
            <v>-0.7817596879238522</v>
          </cell>
          <cell r="I76">
            <v>343.07000000000005</v>
          </cell>
          <cell r="J76">
            <v>327</v>
          </cell>
          <cell r="M76">
            <v>274.156</v>
          </cell>
          <cell r="N76">
            <v>25.136783437167168</v>
          </cell>
          <cell r="Q76">
            <v>2.86</v>
          </cell>
          <cell r="R76">
            <v>2</v>
          </cell>
          <cell r="U76">
            <v>2.19</v>
          </cell>
          <cell r="V76">
            <v>30.593607305936075</v>
          </cell>
        </row>
        <row r="77">
          <cell r="A77">
            <v>39515</v>
          </cell>
          <cell r="B77">
            <v>2.4743906976744183</v>
          </cell>
          <cell r="C77">
            <v>3</v>
          </cell>
          <cell r="D77">
            <v>-0.5256093023255817</v>
          </cell>
          <cell r="E77">
            <v>-4.368021235546317</v>
          </cell>
          <cell r="F77">
            <v>2.6864093023255813</v>
          </cell>
          <cell r="G77">
            <v>-7.892267364754204</v>
          </cell>
          <cell r="I77">
            <v>82.501</v>
          </cell>
          <cell r="J77">
            <v>79</v>
          </cell>
          <cell r="K77">
            <v>3.5010000000000048</v>
          </cell>
          <cell r="L77">
            <v>136.28027333439192</v>
          </cell>
          <cell r="M77">
            <v>66.464</v>
          </cell>
          <cell r="N77">
            <v>24.12885170919597</v>
          </cell>
          <cell r="Q77">
            <v>0.579</v>
          </cell>
          <cell r="R77">
            <v>0.5</v>
          </cell>
          <cell r="S77">
            <v>0.07899999999999996</v>
          </cell>
          <cell r="T77">
            <v>0.934</v>
          </cell>
          <cell r="U77">
            <v>0.439</v>
          </cell>
          <cell r="V77">
            <v>31.890660592255102</v>
          </cell>
        </row>
        <row r="78">
          <cell r="A78">
            <v>39522</v>
          </cell>
          <cell r="B78">
            <v>2.328237209302326</v>
          </cell>
          <cell r="C78">
            <v>3</v>
          </cell>
          <cell r="D78">
            <v>-0.6717627906976742</v>
          </cell>
          <cell r="E78">
            <v>-5.039784026243991</v>
          </cell>
          <cell r="F78">
            <v>2.6954511627906976</v>
          </cell>
          <cell r="G78">
            <v>-13.623468996862925</v>
          </cell>
          <cell r="I78">
            <v>80.163</v>
          </cell>
          <cell r="J78">
            <v>78</v>
          </cell>
          <cell r="K78">
            <v>2.1629999999999967</v>
          </cell>
          <cell r="L78">
            <v>138.4432733343919</v>
          </cell>
          <cell r="M78">
            <v>65.753</v>
          </cell>
          <cell r="N78">
            <v>21.915349869967898</v>
          </cell>
          <cell r="Q78">
            <v>0.457</v>
          </cell>
          <cell r="R78">
            <v>0.5</v>
          </cell>
          <cell r="S78">
            <v>-0.04299999999999998</v>
          </cell>
          <cell r="T78">
            <v>0.891</v>
          </cell>
          <cell r="U78">
            <v>0.382</v>
          </cell>
          <cell r="V78">
            <v>19.633507853403145</v>
          </cell>
        </row>
        <row r="79">
          <cell r="A79">
            <v>39529</v>
          </cell>
          <cell r="B79">
            <v>2.217911627906977</v>
          </cell>
          <cell r="C79">
            <v>3</v>
          </cell>
          <cell r="D79">
            <v>-0.782088372093023</v>
          </cell>
          <cell r="E79">
            <v>-5.821872398337014</v>
          </cell>
          <cell r="F79">
            <v>2.6522790697674417</v>
          </cell>
          <cell r="G79">
            <v>-16.377139450056106</v>
          </cell>
          <cell r="I79">
            <v>68.757</v>
          </cell>
          <cell r="J79">
            <v>78</v>
          </cell>
          <cell r="K79">
            <v>-9.242999999999995</v>
          </cell>
          <cell r="L79">
            <v>129.2002733343919</v>
          </cell>
          <cell r="M79">
            <v>65.633</v>
          </cell>
          <cell r="N79">
            <v>4.7598007100087045</v>
          </cell>
          <cell r="Q79">
            <v>0.568</v>
          </cell>
          <cell r="R79">
            <v>0.5</v>
          </cell>
          <cell r="S79">
            <v>0.06799999999999995</v>
          </cell>
          <cell r="T79">
            <v>0.959</v>
          </cell>
          <cell r="U79">
            <v>0.41700000000000004</v>
          </cell>
          <cell r="V79">
            <v>36.21103117505993</v>
          </cell>
        </row>
        <row r="80">
          <cell r="A80">
            <v>39536</v>
          </cell>
          <cell r="B80">
            <v>2.1224558139534886</v>
          </cell>
          <cell r="C80">
            <v>3</v>
          </cell>
          <cell r="D80">
            <v>-0.8775441860465114</v>
          </cell>
          <cell r="E80">
            <v>-6.699416584383526</v>
          </cell>
          <cell r="F80">
            <v>2.644097674418605</v>
          </cell>
          <cell r="G80">
            <v>-19.728539740114442</v>
          </cell>
          <cell r="I80">
            <v>33.883</v>
          </cell>
          <cell r="J80">
            <v>86</v>
          </cell>
          <cell r="K80">
            <v>-52.117</v>
          </cell>
          <cell r="L80">
            <v>77.08327333439192</v>
          </cell>
          <cell r="M80">
            <v>72.21900000000001</v>
          </cell>
          <cell r="N80">
            <v>-53.0829837023498</v>
          </cell>
          <cell r="Q80">
            <v>0.317</v>
          </cell>
          <cell r="R80">
            <v>0.5</v>
          </cell>
          <cell r="S80">
            <v>-0.183</v>
          </cell>
          <cell r="T80">
            <v>0.776</v>
          </cell>
          <cell r="U80">
            <v>0.45899999999999996</v>
          </cell>
          <cell r="V80">
            <v>-30.93681917211329</v>
          </cell>
        </row>
        <row r="81">
          <cell r="A81" t="str">
            <v>MAR</v>
          </cell>
          <cell r="B81">
            <v>9.142995348837209</v>
          </cell>
          <cell r="C81">
            <v>12</v>
          </cell>
          <cell r="F81">
            <v>10.678237209302326</v>
          </cell>
          <cell r="G81">
            <v>-14.377296836295173</v>
          </cell>
          <cell r="I81">
            <v>265.304</v>
          </cell>
          <cell r="J81">
            <v>321</v>
          </cell>
          <cell r="M81">
            <v>270.06899999999996</v>
          </cell>
          <cell r="N81">
            <v>-1.7643639218125742</v>
          </cell>
          <cell r="Q81">
            <v>1.921</v>
          </cell>
          <cell r="R81">
            <v>2</v>
          </cell>
          <cell r="U81">
            <v>1.697</v>
          </cell>
          <cell r="V81">
            <v>13.199764289923394</v>
          </cell>
        </row>
        <row r="83">
          <cell r="A83" t="str">
            <v>YEAR</v>
          </cell>
          <cell r="B83">
            <v>125.81149302325585</v>
          </cell>
          <cell r="C83">
            <v>132.51090960763935</v>
          </cell>
          <cell r="F83">
            <v>130.48118604651165</v>
          </cell>
          <cell r="I83">
            <v>4506.845</v>
          </cell>
          <cell r="J83">
            <v>4429.761726665607</v>
          </cell>
          <cell r="M83">
            <v>4334.503000000001</v>
          </cell>
          <cell r="N83">
            <v>3.976049849313739</v>
          </cell>
          <cell r="Q83">
            <v>34.06499999999999</v>
          </cell>
          <cell r="R83">
            <v>33.289</v>
          </cell>
          <cell r="U83">
            <v>26.749000000000002</v>
          </cell>
          <cell r="V83">
            <v>27.35055516094056</v>
          </cell>
        </row>
        <row r="85">
          <cell r="A85" t="str">
            <v>Notes: 1. "Actual" slaughterings are based on MLC levy returns.</v>
          </cell>
        </row>
        <row r="86">
          <cell r="A86" t="str">
            <v>            2. A negative deviation indicates that the forecast was too high and a positive deviation that the forecast was too low.</v>
          </cell>
        </row>
        <row r="87">
          <cell r="A87" t="str">
            <v>Source: MLC Economic and Policy Analysis Group.</v>
          </cell>
        </row>
        <row r="92">
          <cell r="A92" t="str">
            <v> </v>
          </cell>
        </row>
      </sheetData>
      <sheetData sheetId="6">
        <row r="1">
          <cell r="A1" t="str">
            <v>2007/08 SCOTLAND LEVY MONITOR</v>
          </cell>
        </row>
        <row r="2">
          <cell r="A2" t="str">
            <v>Based on January 2008 forecasts</v>
          </cell>
          <cell r="R2" t="str">
            <v> </v>
          </cell>
        </row>
        <row r="4">
          <cell r="B4" t="str">
            <v>     CATTLE FORECASTS</v>
          </cell>
          <cell r="I4" t="str">
            <v>     SHEEP FORECASTS</v>
          </cell>
          <cell r="Q4" t="str">
            <v>     PIG FORECASTS</v>
          </cell>
        </row>
        <row r="5">
          <cell r="B5" t="str">
            <v>       Current year</v>
          </cell>
          <cell r="F5" t="str">
            <v>         Previous year</v>
          </cell>
          <cell r="I5" t="str">
            <v>       Current year</v>
          </cell>
          <cell r="M5" t="str">
            <v>         Previous year</v>
          </cell>
          <cell r="Q5" t="str">
            <v>       Current year</v>
          </cell>
          <cell r="U5" t="str">
            <v>         Previous year</v>
          </cell>
        </row>
        <row r="6">
          <cell r="B6" t="str">
            <v>Actual</v>
          </cell>
          <cell r="C6" t="str">
            <v>Forecast</v>
          </cell>
          <cell r="D6" t="str">
            <v>Deviation</v>
          </cell>
          <cell r="E6" t="str">
            <v>CuSum</v>
          </cell>
          <cell r="F6" t="str">
            <v>Actual</v>
          </cell>
          <cell r="G6" t="str">
            <v>change</v>
          </cell>
          <cell r="I6" t="str">
            <v>Actual</v>
          </cell>
          <cell r="J6" t="str">
            <v>Forecast</v>
          </cell>
          <cell r="K6" t="str">
            <v>Deviation</v>
          </cell>
          <cell r="L6" t="str">
            <v>CuSum</v>
          </cell>
          <cell r="M6" t="str">
            <v>Actual</v>
          </cell>
          <cell r="N6" t="str">
            <v>change</v>
          </cell>
          <cell r="Q6" t="str">
            <v>Actual</v>
          </cell>
          <cell r="R6" t="str">
            <v>Forecast</v>
          </cell>
          <cell r="S6" t="str">
            <v>Deviation</v>
          </cell>
          <cell r="T6" t="str">
            <v>CuSum</v>
          </cell>
          <cell r="U6" t="str">
            <v>Actual</v>
          </cell>
          <cell r="V6" t="str">
            <v>change</v>
          </cell>
        </row>
        <row r="7">
          <cell r="B7" t="str">
            <v>     000 head</v>
          </cell>
          <cell r="G7" t="str">
            <v>%</v>
          </cell>
          <cell r="N7" t="str">
            <v>%</v>
          </cell>
          <cell r="V7" t="str">
            <v>%</v>
          </cell>
        </row>
        <row r="8">
          <cell r="A8" t="str">
            <v>week ending:</v>
          </cell>
        </row>
        <row r="9">
          <cell r="A9">
            <v>39179</v>
          </cell>
          <cell r="B9">
            <v>10.324</v>
          </cell>
          <cell r="C9">
            <v>10.324</v>
          </cell>
          <cell r="D9">
            <v>0</v>
          </cell>
          <cell r="E9">
            <v>0</v>
          </cell>
          <cell r="F9">
            <v>9.125</v>
          </cell>
          <cell r="G9">
            <v>13.13972602739726</v>
          </cell>
          <cell r="I9">
            <v>29.407</v>
          </cell>
          <cell r="J9">
            <v>29.407</v>
          </cell>
          <cell r="K9">
            <v>0</v>
          </cell>
          <cell r="L9">
            <v>0</v>
          </cell>
          <cell r="M9">
            <v>21.519000000000002</v>
          </cell>
          <cell r="N9">
            <v>36.65597843765974</v>
          </cell>
          <cell r="Q9">
            <v>12.509</v>
          </cell>
          <cell r="R9">
            <v>12.509</v>
          </cell>
          <cell r="S9">
            <v>0</v>
          </cell>
          <cell r="T9">
            <v>0</v>
          </cell>
          <cell r="U9">
            <v>13.116</v>
          </cell>
          <cell r="V9">
            <v>-4.6279353461421096</v>
          </cell>
        </row>
        <row r="10">
          <cell r="A10">
            <v>39186</v>
          </cell>
          <cell r="B10">
            <v>8.906</v>
          </cell>
          <cell r="C10">
            <v>8.906</v>
          </cell>
          <cell r="D10">
            <v>0</v>
          </cell>
          <cell r="E10">
            <v>0</v>
          </cell>
          <cell r="F10">
            <v>9.94</v>
          </cell>
          <cell r="G10">
            <v>-10.402414486921515</v>
          </cell>
          <cell r="I10">
            <v>26.551</v>
          </cell>
          <cell r="J10">
            <v>26.551</v>
          </cell>
          <cell r="K10">
            <v>0</v>
          </cell>
          <cell r="L10">
            <v>0</v>
          </cell>
          <cell r="M10">
            <v>27.642000000000003</v>
          </cell>
          <cell r="N10">
            <v>-3.9468924101005882</v>
          </cell>
          <cell r="Q10">
            <v>14.675</v>
          </cell>
          <cell r="R10">
            <v>14.675</v>
          </cell>
          <cell r="S10">
            <v>0</v>
          </cell>
          <cell r="T10">
            <v>0</v>
          </cell>
          <cell r="U10">
            <v>11.435</v>
          </cell>
          <cell r="V10">
            <v>28.334062090074355</v>
          </cell>
        </row>
        <row r="11">
          <cell r="A11">
            <v>39193</v>
          </cell>
          <cell r="B11">
            <v>10.527</v>
          </cell>
          <cell r="C11">
            <v>10.527</v>
          </cell>
          <cell r="D11">
            <v>0</v>
          </cell>
          <cell r="E11">
            <v>0</v>
          </cell>
          <cell r="F11">
            <v>9.223</v>
          </cell>
          <cell r="G11">
            <v>14.138566626910972</v>
          </cell>
          <cell r="I11">
            <v>27.444000000000003</v>
          </cell>
          <cell r="J11">
            <v>27.444000000000003</v>
          </cell>
          <cell r="K11">
            <v>0</v>
          </cell>
          <cell r="L11">
            <v>0</v>
          </cell>
          <cell r="M11">
            <v>24.336000000000002</v>
          </cell>
          <cell r="N11">
            <v>12.77120315581854</v>
          </cell>
          <cell r="Q11">
            <v>14.63</v>
          </cell>
          <cell r="R11">
            <v>14.63</v>
          </cell>
          <cell r="S11">
            <v>0</v>
          </cell>
          <cell r="T11">
            <v>0</v>
          </cell>
          <cell r="U11">
            <v>11.789000000000001</v>
          </cell>
          <cell r="V11">
            <v>24.098736109932986</v>
          </cell>
        </row>
        <row r="12">
          <cell r="A12">
            <v>39200</v>
          </cell>
          <cell r="B12">
            <v>10.636000000000001</v>
          </cell>
          <cell r="C12">
            <v>10.636000000000001</v>
          </cell>
          <cell r="D12">
            <v>0</v>
          </cell>
          <cell r="E12">
            <v>0</v>
          </cell>
          <cell r="F12">
            <v>10.683</v>
          </cell>
          <cell r="G12">
            <v>-0.43995132453429164</v>
          </cell>
          <cell r="I12">
            <v>26.147000000000002</v>
          </cell>
          <cell r="J12">
            <v>26.147000000000002</v>
          </cell>
          <cell r="K12">
            <v>0</v>
          </cell>
          <cell r="L12">
            <v>0</v>
          </cell>
          <cell r="M12">
            <v>21.094</v>
          </cell>
          <cell r="N12">
            <v>23.954679055655646</v>
          </cell>
          <cell r="Q12">
            <v>14.79</v>
          </cell>
          <cell r="R12">
            <v>14.79</v>
          </cell>
          <cell r="S12">
            <v>0</v>
          </cell>
          <cell r="T12">
            <v>0</v>
          </cell>
          <cell r="U12">
            <v>12.089</v>
          </cell>
          <cell r="V12">
            <v>22.342625527338896</v>
          </cell>
        </row>
        <row r="13">
          <cell r="A13">
            <v>39207</v>
          </cell>
          <cell r="B13">
            <v>10.469</v>
          </cell>
          <cell r="C13">
            <v>10.469</v>
          </cell>
          <cell r="D13">
            <v>0</v>
          </cell>
          <cell r="E13">
            <v>0</v>
          </cell>
          <cell r="F13">
            <v>9.396</v>
          </cell>
          <cell r="G13">
            <v>11.419753086419732</v>
          </cell>
          <cell r="I13">
            <v>22.802</v>
          </cell>
          <cell r="J13">
            <v>22.802</v>
          </cell>
          <cell r="K13">
            <v>0</v>
          </cell>
          <cell r="L13">
            <v>0</v>
          </cell>
          <cell r="M13">
            <v>12.566999999999998</v>
          </cell>
          <cell r="N13">
            <v>81.44346303811571</v>
          </cell>
          <cell r="Q13">
            <v>14.945</v>
          </cell>
          <cell r="R13">
            <v>14.945</v>
          </cell>
          <cell r="S13">
            <v>0</v>
          </cell>
          <cell r="T13">
            <v>0</v>
          </cell>
          <cell r="U13">
            <v>10.91</v>
          </cell>
          <cell r="V13">
            <v>36.98441796516957</v>
          </cell>
        </row>
        <row r="14">
          <cell r="A14" t="str">
            <v>APR</v>
          </cell>
          <cell r="B14">
            <v>50.862</v>
          </cell>
          <cell r="C14">
            <v>50.862</v>
          </cell>
          <cell r="F14">
            <v>48.367</v>
          </cell>
          <cell r="G14">
            <v>5.158475820290704</v>
          </cell>
          <cell r="I14">
            <v>132.351</v>
          </cell>
          <cell r="J14">
            <v>132.351</v>
          </cell>
          <cell r="M14">
            <v>107.158</v>
          </cell>
          <cell r="N14">
            <v>23.510143899662168</v>
          </cell>
          <cell r="Q14">
            <v>71.549</v>
          </cell>
          <cell r="R14">
            <v>71.549</v>
          </cell>
          <cell r="U14">
            <v>59.339</v>
          </cell>
          <cell r="V14">
            <v>20.57668649623352</v>
          </cell>
        </row>
        <row r="15">
          <cell r="A15">
            <v>39214</v>
          </cell>
          <cell r="B15">
            <v>9.778</v>
          </cell>
          <cell r="C15">
            <v>9.778</v>
          </cell>
          <cell r="D15">
            <v>0</v>
          </cell>
          <cell r="E15">
            <v>0</v>
          </cell>
          <cell r="F15">
            <v>11.104</v>
          </cell>
          <cell r="G15">
            <v>-11.941642651296831</v>
          </cell>
          <cell r="I15">
            <v>16.051</v>
          </cell>
          <cell r="J15">
            <v>16.051</v>
          </cell>
          <cell r="K15">
            <v>0</v>
          </cell>
          <cell r="L15">
            <v>0</v>
          </cell>
          <cell r="M15">
            <v>12.866</v>
          </cell>
          <cell r="N15">
            <v>24.75516866158867</v>
          </cell>
          <cell r="Q15">
            <v>14.802999999999999</v>
          </cell>
          <cell r="R15">
            <v>14.802999999999999</v>
          </cell>
          <cell r="S15">
            <v>0</v>
          </cell>
          <cell r="T15">
            <v>0</v>
          </cell>
          <cell r="U15">
            <v>13.833</v>
          </cell>
          <cell r="V15">
            <v>7.012217161859311</v>
          </cell>
        </row>
        <row r="16">
          <cell r="A16">
            <v>39221</v>
          </cell>
          <cell r="B16">
            <v>10.510586046511627</v>
          </cell>
          <cell r="C16">
            <v>10.510586046511627</v>
          </cell>
          <cell r="D16">
            <v>0</v>
          </cell>
          <cell r="E16">
            <v>0</v>
          </cell>
          <cell r="F16">
            <v>11.265</v>
          </cell>
          <cell r="G16">
            <v>-6.696972512102732</v>
          </cell>
          <cell r="I16">
            <v>19.248</v>
          </cell>
          <cell r="J16">
            <v>19.248</v>
          </cell>
          <cell r="K16">
            <v>0</v>
          </cell>
          <cell r="L16">
            <v>0</v>
          </cell>
          <cell r="M16">
            <v>13.443</v>
          </cell>
          <cell r="N16">
            <v>43.18232537380052</v>
          </cell>
          <cell r="Q16">
            <v>14.231</v>
          </cell>
          <cell r="R16">
            <v>14.231</v>
          </cell>
          <cell r="S16">
            <v>0</v>
          </cell>
          <cell r="T16">
            <v>0</v>
          </cell>
          <cell r="U16">
            <v>13.262</v>
          </cell>
          <cell r="V16">
            <v>7.306590257879648</v>
          </cell>
        </row>
        <row r="17">
          <cell r="A17">
            <v>39228</v>
          </cell>
          <cell r="B17">
            <v>10.536000000000001</v>
          </cell>
          <cell r="C17">
            <v>10.536000000000001</v>
          </cell>
          <cell r="D17">
            <v>0</v>
          </cell>
          <cell r="E17">
            <v>0</v>
          </cell>
          <cell r="F17">
            <v>10.953999999999999</v>
          </cell>
          <cell r="G17">
            <v>-3.815957641044349</v>
          </cell>
          <cell r="I17">
            <v>17.874</v>
          </cell>
          <cell r="J17">
            <v>17.874</v>
          </cell>
          <cell r="K17">
            <v>0</v>
          </cell>
          <cell r="L17">
            <v>0</v>
          </cell>
          <cell r="M17">
            <v>13.181</v>
          </cell>
          <cell r="N17">
            <v>35.60427888627572</v>
          </cell>
          <cell r="Q17">
            <v>14.511</v>
          </cell>
          <cell r="R17">
            <v>14.511</v>
          </cell>
          <cell r="S17">
            <v>0</v>
          </cell>
          <cell r="T17">
            <v>0</v>
          </cell>
          <cell r="U17">
            <v>13.96</v>
          </cell>
          <cell r="V17">
            <v>3.9469914040114418</v>
          </cell>
        </row>
        <row r="18">
          <cell r="A18">
            <v>39235</v>
          </cell>
          <cell r="B18">
            <v>9.885</v>
          </cell>
          <cell r="C18">
            <v>9.885</v>
          </cell>
          <cell r="D18">
            <v>0</v>
          </cell>
          <cell r="E18">
            <v>0</v>
          </cell>
          <cell r="F18">
            <v>9.871</v>
          </cell>
          <cell r="G18">
            <v>0.14182960186404614</v>
          </cell>
          <cell r="I18">
            <v>17.310000000000002</v>
          </cell>
          <cell r="J18">
            <v>17.31</v>
          </cell>
          <cell r="K18">
            <v>3.552713678800501E-15</v>
          </cell>
          <cell r="L18">
            <v>3.552713678800501E-15</v>
          </cell>
          <cell r="M18">
            <v>12.854</v>
          </cell>
          <cell r="N18">
            <v>34.666251750427904</v>
          </cell>
          <cell r="Q18">
            <v>13.777000000000001</v>
          </cell>
          <cell r="R18">
            <v>13.777000000000001</v>
          </cell>
          <cell r="S18">
            <v>0</v>
          </cell>
          <cell r="T18">
            <v>0</v>
          </cell>
          <cell r="U18">
            <v>13.097999999999999</v>
          </cell>
          <cell r="V18">
            <v>5.183997556878921</v>
          </cell>
        </row>
        <row r="19">
          <cell r="A19" t="str">
            <v>MAY</v>
          </cell>
          <cell r="B19">
            <v>40.709586046511625</v>
          </cell>
          <cell r="C19">
            <v>40.709586046511625</v>
          </cell>
          <cell r="F19">
            <v>43.194</v>
          </cell>
          <cell r="G19">
            <v>-5.751757080817654</v>
          </cell>
          <cell r="I19">
            <v>70.483</v>
          </cell>
          <cell r="J19">
            <v>70.483</v>
          </cell>
          <cell r="M19">
            <v>52.343999999999994</v>
          </cell>
          <cell r="N19">
            <v>34.653446431300665</v>
          </cell>
          <cell r="Q19">
            <v>57.322</v>
          </cell>
          <cell r="R19">
            <v>57.322</v>
          </cell>
          <cell r="U19">
            <v>54.153</v>
          </cell>
          <cell r="V19">
            <v>5.851938027440767</v>
          </cell>
        </row>
        <row r="20">
          <cell r="A20">
            <v>39242</v>
          </cell>
          <cell r="B20">
            <v>10.786000000000001</v>
          </cell>
          <cell r="C20">
            <v>10.786000000000001</v>
          </cell>
          <cell r="D20">
            <v>0</v>
          </cell>
          <cell r="E20">
            <v>0</v>
          </cell>
          <cell r="F20">
            <v>10.072</v>
          </cell>
          <cell r="G20">
            <v>7.088959491660063</v>
          </cell>
          <cell r="I20">
            <v>19.476</v>
          </cell>
          <cell r="J20">
            <v>19.476</v>
          </cell>
          <cell r="K20">
            <v>0</v>
          </cell>
          <cell r="L20">
            <v>3.552713678800501E-15</v>
          </cell>
          <cell r="M20">
            <v>17.074</v>
          </cell>
          <cell r="N20">
            <v>14.068173831556734</v>
          </cell>
          <cell r="Q20">
            <v>12.665</v>
          </cell>
          <cell r="R20">
            <v>12.665</v>
          </cell>
          <cell r="S20">
            <v>0</v>
          </cell>
          <cell r="T20">
            <v>0</v>
          </cell>
          <cell r="U20">
            <v>11.764000000000001</v>
          </cell>
          <cell r="V20">
            <v>7.65895953757223</v>
          </cell>
        </row>
        <row r="21">
          <cell r="A21">
            <v>39249</v>
          </cell>
          <cell r="B21">
            <v>10.535</v>
          </cell>
          <cell r="C21">
            <v>10.535</v>
          </cell>
          <cell r="D21">
            <v>0</v>
          </cell>
          <cell r="E21">
            <v>0</v>
          </cell>
          <cell r="F21">
            <v>10.283</v>
          </cell>
          <cell r="G21">
            <v>2.450646698434312</v>
          </cell>
          <cell r="I21">
            <v>20.839</v>
          </cell>
          <cell r="J21">
            <v>20.839</v>
          </cell>
          <cell r="K21">
            <v>0</v>
          </cell>
          <cell r="L21">
            <v>3.552713678800501E-15</v>
          </cell>
          <cell r="M21">
            <v>19.146</v>
          </cell>
          <cell r="N21">
            <v>8.842578084195125</v>
          </cell>
          <cell r="Q21">
            <v>14.925999999999998</v>
          </cell>
          <cell r="R21">
            <v>14.925999999999998</v>
          </cell>
          <cell r="S21">
            <v>0</v>
          </cell>
          <cell r="T21">
            <v>0</v>
          </cell>
          <cell r="U21">
            <v>13.735999999999999</v>
          </cell>
          <cell r="V21">
            <v>8.663366336633672</v>
          </cell>
        </row>
        <row r="22">
          <cell r="A22">
            <v>39256</v>
          </cell>
          <cell r="B22">
            <v>10.433</v>
          </cell>
          <cell r="C22">
            <v>10.443</v>
          </cell>
          <cell r="D22">
            <v>-0.009999999999999787</v>
          </cell>
          <cell r="E22">
            <v>-0.009999999999999787</v>
          </cell>
          <cell r="F22">
            <v>10.39</v>
          </cell>
          <cell r="G22">
            <v>0.4138594802694797</v>
          </cell>
          <cell r="I22">
            <v>24.017999999999997</v>
          </cell>
          <cell r="J22">
            <v>23.979</v>
          </cell>
          <cell r="K22">
            <v>0.038999999999997925</v>
          </cell>
          <cell r="L22">
            <v>0.03900000000000148</v>
          </cell>
          <cell r="M22">
            <v>23.977</v>
          </cell>
          <cell r="N22">
            <v>0.17099720565541077</v>
          </cell>
          <cell r="Q22">
            <v>14.200999999999999</v>
          </cell>
          <cell r="R22">
            <v>14.237</v>
          </cell>
          <cell r="S22">
            <v>-0.036000000000001364</v>
          </cell>
          <cell r="T22">
            <v>-0.036000000000001364</v>
          </cell>
          <cell r="U22">
            <v>13.432</v>
          </cell>
          <cell r="V22">
            <v>5.725134008338301</v>
          </cell>
        </row>
        <row r="23">
          <cell r="A23">
            <v>39263</v>
          </cell>
          <cell r="B23">
            <v>10.27</v>
          </cell>
          <cell r="C23">
            <v>10.2</v>
          </cell>
          <cell r="D23">
            <v>0.07000000000000028</v>
          </cell>
          <cell r="E23">
            <v>0.0600000000000005</v>
          </cell>
          <cell r="F23">
            <v>10.755</v>
          </cell>
          <cell r="G23">
            <v>-4.509530450953065</v>
          </cell>
          <cell r="I23">
            <v>24.65</v>
          </cell>
          <cell r="J23">
            <v>24.526</v>
          </cell>
          <cell r="K23">
            <v>0.12399999999999878</v>
          </cell>
          <cell r="L23">
            <v>0.16300000000000026</v>
          </cell>
          <cell r="M23">
            <v>26.502</v>
          </cell>
          <cell r="N23">
            <v>-6.988151837597172</v>
          </cell>
          <cell r="Q23">
            <v>14.126</v>
          </cell>
          <cell r="R23">
            <v>14.117</v>
          </cell>
          <cell r="S23">
            <v>0.008999999999998565</v>
          </cell>
          <cell r="T23">
            <v>-0.0270000000000028</v>
          </cell>
          <cell r="U23">
            <v>12.909</v>
          </cell>
          <cell r="V23">
            <v>9.427531179797029</v>
          </cell>
        </row>
        <row r="24">
          <cell r="A24" t="str">
            <v>JUN</v>
          </cell>
          <cell r="B24">
            <v>42.024</v>
          </cell>
          <cell r="C24">
            <v>41.964</v>
          </cell>
          <cell r="F24">
            <v>41.5</v>
          </cell>
          <cell r="G24">
            <v>1.26265060240965</v>
          </cell>
          <cell r="I24">
            <v>88.983</v>
          </cell>
          <cell r="J24">
            <v>88.82</v>
          </cell>
          <cell r="M24">
            <v>86.699</v>
          </cell>
          <cell r="N24">
            <v>2.6344017808740574</v>
          </cell>
          <cell r="Q24">
            <v>55.91799999999999</v>
          </cell>
          <cell r="R24">
            <v>55.945</v>
          </cell>
          <cell r="U24">
            <v>51.841</v>
          </cell>
          <cell r="V24">
            <v>7.864431627476293</v>
          </cell>
        </row>
        <row r="25">
          <cell r="A25">
            <v>39270</v>
          </cell>
          <cell r="B25">
            <v>10.57006511627907</v>
          </cell>
          <cell r="C25">
            <v>10.57006511627907</v>
          </cell>
          <cell r="D25">
            <v>0</v>
          </cell>
          <cell r="E25">
            <v>0.0600000000000005</v>
          </cell>
          <cell r="F25">
            <v>10.564</v>
          </cell>
          <cell r="G25">
            <v>0.057413065875323355</v>
          </cell>
          <cell r="I25">
            <v>27.015</v>
          </cell>
          <cell r="J25">
            <v>27.015</v>
          </cell>
          <cell r="K25">
            <v>0</v>
          </cell>
          <cell r="L25">
            <v>0.16300000000000026</v>
          </cell>
          <cell r="M25">
            <v>17.373</v>
          </cell>
          <cell r="N25">
            <v>55.499913659126236</v>
          </cell>
          <cell r="Q25">
            <v>12.515999999999998</v>
          </cell>
          <cell r="R25">
            <v>12.515999999999998</v>
          </cell>
          <cell r="S25">
            <v>0</v>
          </cell>
          <cell r="T25">
            <v>-0.0270000000000028</v>
          </cell>
          <cell r="U25">
            <v>12.753</v>
          </cell>
          <cell r="V25">
            <v>-1.8583862620560012</v>
          </cell>
        </row>
        <row r="26">
          <cell r="A26">
            <v>39277</v>
          </cell>
          <cell r="B26">
            <v>9.51206511627907</v>
          </cell>
          <cell r="C26">
            <v>9.51206511627907</v>
          </cell>
          <cell r="D26">
            <v>0</v>
          </cell>
          <cell r="E26">
            <v>0.0600000000000005</v>
          </cell>
          <cell r="F26">
            <v>10.049</v>
          </cell>
          <cell r="G26">
            <v>-5.343167317354258</v>
          </cell>
          <cell r="I26">
            <v>29.167</v>
          </cell>
          <cell r="J26">
            <v>29.167</v>
          </cell>
          <cell r="K26">
            <v>0</v>
          </cell>
          <cell r="L26">
            <v>0.16300000000000026</v>
          </cell>
          <cell r="M26">
            <v>27.933</v>
          </cell>
          <cell r="N26">
            <v>4.4177138152006705</v>
          </cell>
          <cell r="Q26">
            <v>12.738</v>
          </cell>
          <cell r="R26">
            <v>12.738</v>
          </cell>
          <cell r="S26">
            <v>0</v>
          </cell>
          <cell r="T26">
            <v>-0.0270000000000028</v>
          </cell>
          <cell r="U26">
            <v>13.062999999999999</v>
          </cell>
          <cell r="V26">
            <v>-2.4879430452422753</v>
          </cell>
        </row>
        <row r="27">
          <cell r="A27">
            <v>39284</v>
          </cell>
          <cell r="B27">
            <v>9.468</v>
          </cell>
          <cell r="C27">
            <v>9.468</v>
          </cell>
          <cell r="D27">
            <v>0</v>
          </cell>
          <cell r="E27">
            <v>0.0600000000000005</v>
          </cell>
          <cell r="F27">
            <v>9.711</v>
          </cell>
          <cell r="G27">
            <v>-2.502316960148292</v>
          </cell>
          <cell r="I27">
            <v>29.409</v>
          </cell>
          <cell r="J27">
            <v>29.409</v>
          </cell>
          <cell r="K27">
            <v>0</v>
          </cell>
          <cell r="L27">
            <v>0.16300000000000026</v>
          </cell>
          <cell r="M27">
            <v>26.451</v>
          </cell>
          <cell r="N27">
            <v>11.18294204377905</v>
          </cell>
          <cell r="Q27">
            <v>14.482999999999999</v>
          </cell>
          <cell r="R27">
            <v>14.482999999999999</v>
          </cell>
          <cell r="S27">
            <v>0</v>
          </cell>
          <cell r="T27">
            <v>-0.0270000000000028</v>
          </cell>
          <cell r="U27">
            <v>12.659</v>
          </cell>
          <cell r="V27">
            <v>14.408721068014827</v>
          </cell>
        </row>
        <row r="28">
          <cell r="A28">
            <v>39291</v>
          </cell>
          <cell r="B28">
            <v>10.46</v>
          </cell>
          <cell r="C28">
            <v>10.46</v>
          </cell>
          <cell r="D28">
            <v>0</v>
          </cell>
          <cell r="E28">
            <v>0.0600000000000005</v>
          </cell>
          <cell r="F28">
            <v>9.943</v>
          </cell>
          <cell r="G28">
            <v>5.19963793623657</v>
          </cell>
          <cell r="I28">
            <v>28.424</v>
          </cell>
          <cell r="J28">
            <v>28.424</v>
          </cell>
          <cell r="K28">
            <v>0</v>
          </cell>
          <cell r="L28">
            <v>0.16300000000000026</v>
          </cell>
          <cell r="M28">
            <v>21.898</v>
          </cell>
          <cell r="N28">
            <v>29.80180838432733</v>
          </cell>
          <cell r="Q28">
            <v>14.267000000000001</v>
          </cell>
          <cell r="R28">
            <v>14.267000000000001</v>
          </cell>
          <cell r="S28">
            <v>0</v>
          </cell>
          <cell r="T28">
            <v>-0.0270000000000028</v>
          </cell>
          <cell r="U28">
            <v>12.625</v>
          </cell>
          <cell r="V28">
            <v>13.00594059405941</v>
          </cell>
        </row>
        <row r="29">
          <cell r="A29">
            <v>39298</v>
          </cell>
          <cell r="B29">
            <v>10.132</v>
          </cell>
          <cell r="C29">
            <v>10.132</v>
          </cell>
          <cell r="D29">
            <v>0</v>
          </cell>
          <cell r="E29">
            <v>0.0600000000000005</v>
          </cell>
          <cell r="F29">
            <v>9.888</v>
          </cell>
          <cell r="G29">
            <v>2.467637540453069</v>
          </cell>
          <cell r="I29">
            <v>31.987</v>
          </cell>
          <cell r="J29">
            <v>31.987</v>
          </cell>
          <cell r="K29">
            <v>0</v>
          </cell>
          <cell r="L29">
            <v>0.16300000000000026</v>
          </cell>
          <cell r="M29">
            <v>29.029999999999998</v>
          </cell>
          <cell r="N29">
            <v>10.18601446779195</v>
          </cell>
          <cell r="Q29">
            <v>14.065999999999999</v>
          </cell>
          <cell r="R29">
            <v>14.065999999999999</v>
          </cell>
          <cell r="S29">
            <v>0</v>
          </cell>
          <cell r="T29">
            <v>-0.0270000000000028</v>
          </cell>
          <cell r="U29">
            <v>11.009</v>
          </cell>
          <cell r="V29">
            <v>27.768189663002985</v>
          </cell>
        </row>
        <row r="30">
          <cell r="A30" t="str">
            <v>JUL</v>
          </cell>
          <cell r="B30">
            <v>50.14213023255814</v>
          </cell>
          <cell r="C30">
            <v>50.14213023255814</v>
          </cell>
          <cell r="F30">
            <v>50.154999999999994</v>
          </cell>
          <cell r="G30">
            <v>-0.02565998891806487</v>
          </cell>
          <cell r="I30">
            <v>146.002</v>
          </cell>
          <cell r="J30">
            <v>146.002</v>
          </cell>
          <cell r="M30">
            <v>122.685</v>
          </cell>
          <cell r="N30">
            <v>19.00558340465419</v>
          </cell>
          <cell r="Q30">
            <v>68.07</v>
          </cell>
          <cell r="R30">
            <v>68.07</v>
          </cell>
          <cell r="U30">
            <v>62.109</v>
          </cell>
          <cell r="V30">
            <v>9.59764285369269</v>
          </cell>
        </row>
        <row r="31">
          <cell r="A31">
            <v>39305</v>
          </cell>
          <cell r="B31">
            <v>6.71</v>
          </cell>
          <cell r="C31">
            <v>6.71</v>
          </cell>
          <cell r="D31">
            <v>0</v>
          </cell>
          <cell r="E31">
            <v>0.0600000000000005</v>
          </cell>
          <cell r="F31">
            <v>9.814065116279071</v>
          </cell>
          <cell r="G31">
            <v>-31.628739767888902</v>
          </cell>
          <cell r="I31">
            <v>17.683</v>
          </cell>
          <cell r="J31">
            <v>17.683</v>
          </cell>
          <cell r="K31">
            <v>0</v>
          </cell>
          <cell r="L31">
            <v>0.16300000000000026</v>
          </cell>
          <cell r="M31">
            <v>31.230999999999998</v>
          </cell>
          <cell r="N31">
            <v>-43.37997502481509</v>
          </cell>
          <cell r="Q31">
            <v>8.919</v>
          </cell>
          <cell r="R31">
            <v>8.919</v>
          </cell>
          <cell r="S31">
            <v>0</v>
          </cell>
          <cell r="T31">
            <v>-0.0270000000000028</v>
          </cell>
          <cell r="U31">
            <v>12.652000000000001</v>
          </cell>
          <cell r="V31">
            <v>-29.505216566550743</v>
          </cell>
        </row>
        <row r="32">
          <cell r="A32">
            <v>39312</v>
          </cell>
          <cell r="B32">
            <v>9.998999999999999</v>
          </cell>
          <cell r="C32">
            <v>9.998999999999999</v>
          </cell>
          <cell r="D32">
            <v>0</v>
          </cell>
          <cell r="E32">
            <v>0.0600000000000005</v>
          </cell>
          <cell r="F32">
            <v>9.80813023255814</v>
          </cell>
          <cell r="G32">
            <v>1.9460362262347104</v>
          </cell>
          <cell r="I32">
            <v>24.516</v>
          </cell>
          <cell r="J32">
            <v>23.679</v>
          </cell>
          <cell r="K32">
            <v>0.8369999999999997</v>
          </cell>
          <cell r="L32">
            <v>1</v>
          </cell>
          <cell r="M32">
            <v>34.542</v>
          </cell>
          <cell r="N32">
            <v>-29.025534132360605</v>
          </cell>
          <cell r="Q32">
            <v>14.982999999999999</v>
          </cell>
          <cell r="R32">
            <v>15.716</v>
          </cell>
          <cell r="S32">
            <v>-0.7330000000000005</v>
          </cell>
          <cell r="T32">
            <v>-0.7600000000000033</v>
          </cell>
          <cell r="U32">
            <v>13.945</v>
          </cell>
          <cell r="V32">
            <v>7.4435281462889975</v>
          </cell>
        </row>
        <row r="33">
          <cell r="A33">
            <v>39319</v>
          </cell>
          <cell r="B33">
            <v>9.462065116279069</v>
          </cell>
          <cell r="C33">
            <v>9.462065116279069</v>
          </cell>
          <cell r="D33">
            <v>0</v>
          </cell>
          <cell r="E33">
            <v>0.0600000000000005</v>
          </cell>
          <cell r="F33">
            <v>9.606</v>
          </cell>
          <cell r="G33">
            <v>-1.498385214667195</v>
          </cell>
          <cell r="I33">
            <v>24.612000000000002</v>
          </cell>
          <cell r="J33">
            <v>24.612000000000002</v>
          </cell>
          <cell r="K33">
            <v>0</v>
          </cell>
          <cell r="L33">
            <v>1</v>
          </cell>
          <cell r="M33">
            <v>36.166000000000004</v>
          </cell>
          <cell r="N33">
            <v>-31.947132666039934</v>
          </cell>
          <cell r="Q33">
            <v>15.47</v>
          </cell>
          <cell r="R33">
            <v>15.47</v>
          </cell>
          <cell r="S33">
            <v>0</v>
          </cell>
          <cell r="T33">
            <v>-0.7600000000000033</v>
          </cell>
          <cell r="U33">
            <v>13.923</v>
          </cell>
          <cell r="V33">
            <v>11.111111111111114</v>
          </cell>
        </row>
        <row r="34">
          <cell r="A34">
            <v>39326</v>
          </cell>
          <cell r="B34">
            <v>9.88006511627907</v>
          </cell>
          <cell r="C34">
            <v>9.88006511627907</v>
          </cell>
          <cell r="D34">
            <v>0</v>
          </cell>
          <cell r="E34">
            <v>0.0600000000000005</v>
          </cell>
          <cell r="F34">
            <v>10.08606511627907</v>
          </cell>
          <cell r="G34">
            <v>-2.042421872406038</v>
          </cell>
          <cell r="I34">
            <v>35.486999999999995</v>
          </cell>
          <cell r="J34">
            <v>35.486999999999995</v>
          </cell>
          <cell r="K34">
            <v>0</v>
          </cell>
          <cell r="L34">
            <v>1</v>
          </cell>
          <cell r="M34">
            <v>38.179</v>
          </cell>
          <cell r="N34">
            <v>-7.050996621179209</v>
          </cell>
          <cell r="Q34">
            <v>15.26</v>
          </cell>
          <cell r="R34">
            <v>15.26</v>
          </cell>
          <cell r="S34">
            <v>0</v>
          </cell>
          <cell r="T34">
            <v>-0.7600000000000033</v>
          </cell>
          <cell r="U34">
            <v>14.084000000000001</v>
          </cell>
          <cell r="V34">
            <v>8.349900596421463</v>
          </cell>
        </row>
        <row r="35">
          <cell r="A35" t="str">
            <v>AUG</v>
          </cell>
          <cell r="B35">
            <v>36.05113023255814</v>
          </cell>
          <cell r="C35">
            <v>36.05113023255814</v>
          </cell>
          <cell r="F35">
            <v>39.31426046511628</v>
          </cell>
          <cell r="G35">
            <v>-8.300118567545056</v>
          </cell>
          <cell r="I35">
            <v>102.298</v>
          </cell>
          <cell r="J35">
            <v>101.46099999999998</v>
          </cell>
          <cell r="M35">
            <v>140.118</v>
          </cell>
          <cell r="N35">
            <v>-26.99153570561954</v>
          </cell>
          <cell r="Q35">
            <v>54.632</v>
          </cell>
          <cell r="R35">
            <v>55.365</v>
          </cell>
          <cell r="U35">
            <v>54.604000000000006</v>
          </cell>
          <cell r="V35">
            <v>0.05127829463040712</v>
          </cell>
        </row>
        <row r="36">
          <cell r="A36">
            <v>39333</v>
          </cell>
          <cell r="B36">
            <v>9.684</v>
          </cell>
          <cell r="C36">
            <v>9.69</v>
          </cell>
          <cell r="D36">
            <v>-0.006000000000000227</v>
          </cell>
          <cell r="E36">
            <v>0.05400000000000027</v>
          </cell>
          <cell r="F36">
            <v>10.783999999999999</v>
          </cell>
          <cell r="G36">
            <v>-10.200296735905042</v>
          </cell>
          <cell r="I36">
            <v>33.547000000000004</v>
          </cell>
          <cell r="J36">
            <v>33.547000000000004</v>
          </cell>
          <cell r="K36">
            <v>0</v>
          </cell>
          <cell r="L36">
            <v>1</v>
          </cell>
          <cell r="M36">
            <v>34.681</v>
          </cell>
          <cell r="N36">
            <v>-3.269801908826139</v>
          </cell>
          <cell r="Q36">
            <v>15.515</v>
          </cell>
          <cell r="R36">
            <v>15.515</v>
          </cell>
          <cell r="S36">
            <v>0</v>
          </cell>
          <cell r="T36">
            <v>-0.7600000000000033</v>
          </cell>
          <cell r="U36">
            <v>13.334000000000001</v>
          </cell>
          <cell r="V36">
            <v>16.356682165891698</v>
          </cell>
        </row>
        <row r="37">
          <cell r="A37">
            <v>39340</v>
          </cell>
          <cell r="B37">
            <v>10.479</v>
          </cell>
          <cell r="C37">
            <v>10.479</v>
          </cell>
          <cell r="D37">
            <v>0</v>
          </cell>
          <cell r="E37">
            <v>0.05400000000000027</v>
          </cell>
          <cell r="F37">
            <v>11.58406511627907</v>
          </cell>
          <cell r="G37">
            <v>-9.53952783575194</v>
          </cell>
          <cell r="I37">
            <v>33.254999999999995</v>
          </cell>
          <cell r="J37">
            <v>33.255</v>
          </cell>
          <cell r="K37">
            <v>-7.105427357601002E-15</v>
          </cell>
          <cell r="L37">
            <v>0.9999999999999929</v>
          </cell>
          <cell r="M37">
            <v>38.844</v>
          </cell>
          <cell r="N37">
            <v>-14.388322520852654</v>
          </cell>
          <cell r="Q37">
            <v>17.434</v>
          </cell>
          <cell r="R37">
            <v>17.434</v>
          </cell>
          <cell r="S37">
            <v>0</v>
          </cell>
          <cell r="T37">
            <v>-0.7600000000000033</v>
          </cell>
          <cell r="U37">
            <v>13.205</v>
          </cell>
          <cell r="V37">
            <v>32.025747822794386</v>
          </cell>
        </row>
        <row r="38">
          <cell r="A38">
            <v>39347</v>
          </cell>
          <cell r="B38">
            <v>10.609065116279071</v>
          </cell>
          <cell r="C38">
            <v>10.510065116279069</v>
          </cell>
          <cell r="D38">
            <v>0.09900000000000198</v>
          </cell>
          <cell r="E38">
            <v>0.15300000000000225</v>
          </cell>
          <cell r="F38">
            <v>11.122</v>
          </cell>
          <cell r="G38">
            <v>-4.611894297077228</v>
          </cell>
          <cell r="I38">
            <v>26.277</v>
          </cell>
          <cell r="J38">
            <v>26.277</v>
          </cell>
          <cell r="K38">
            <v>0</v>
          </cell>
          <cell r="L38">
            <v>0.9999999999999929</v>
          </cell>
          <cell r="M38">
            <v>36.722</v>
          </cell>
          <cell r="N38">
            <v>-28.44343989978759</v>
          </cell>
          <cell r="Q38">
            <v>15.202</v>
          </cell>
          <cell r="R38">
            <v>15.202</v>
          </cell>
          <cell r="S38">
            <v>0</v>
          </cell>
          <cell r="T38">
            <v>-0.7600000000000033</v>
          </cell>
          <cell r="U38">
            <v>12.978</v>
          </cell>
          <cell r="V38">
            <v>17.1366928648482</v>
          </cell>
        </row>
        <row r="39">
          <cell r="A39">
            <v>39354</v>
          </cell>
          <cell r="B39">
            <v>10.687</v>
          </cell>
          <cell r="C39">
            <v>10.687</v>
          </cell>
          <cell r="D39">
            <v>0</v>
          </cell>
          <cell r="E39">
            <v>0.15300000000000225</v>
          </cell>
          <cell r="F39">
            <v>11.61506511627907</v>
          </cell>
          <cell r="G39">
            <v>-7.990184359606758</v>
          </cell>
          <cell r="I39">
            <v>26.053</v>
          </cell>
          <cell r="J39">
            <v>26.053</v>
          </cell>
          <cell r="K39">
            <v>0</v>
          </cell>
          <cell r="L39">
            <v>0.9999999999999929</v>
          </cell>
          <cell r="M39">
            <v>36.983999999999995</v>
          </cell>
          <cell r="N39">
            <v>-29.556024226692614</v>
          </cell>
          <cell r="Q39">
            <v>14.398</v>
          </cell>
          <cell r="R39">
            <v>14.398</v>
          </cell>
          <cell r="S39">
            <v>0</v>
          </cell>
          <cell r="T39">
            <v>-0.7600000000000033</v>
          </cell>
          <cell r="U39">
            <v>14.41</v>
          </cell>
          <cell r="V39">
            <v>-0.0832755031228345</v>
          </cell>
        </row>
        <row r="40">
          <cell r="A40" t="str">
            <v>SEP</v>
          </cell>
          <cell r="B40">
            <v>41.45906511627906</v>
          </cell>
          <cell r="C40">
            <v>41.36606511627907</v>
          </cell>
          <cell r="F40">
            <v>45.10513023255814</v>
          </cell>
          <cell r="G40">
            <v>-8.08348207283801</v>
          </cell>
          <cell r="I40">
            <v>119.13199999999999</v>
          </cell>
          <cell r="J40">
            <v>119.13199999999999</v>
          </cell>
          <cell r="M40">
            <v>147.231</v>
          </cell>
          <cell r="N40">
            <v>-19.08497531090599</v>
          </cell>
          <cell r="Q40">
            <v>62.54899999999999</v>
          </cell>
          <cell r="R40">
            <v>62.54899999999999</v>
          </cell>
          <cell r="U40">
            <v>53.92700000000001</v>
          </cell>
          <cell r="V40">
            <v>15.988280453205235</v>
          </cell>
        </row>
        <row r="41">
          <cell r="A41">
            <v>39361</v>
          </cell>
          <cell r="B41">
            <v>10.494</v>
          </cell>
          <cell r="C41">
            <v>10.355</v>
          </cell>
          <cell r="D41">
            <v>0.13899999999999935</v>
          </cell>
          <cell r="E41">
            <v>0.2920000000000016</v>
          </cell>
          <cell r="F41">
            <v>10.91</v>
          </cell>
          <cell r="G41">
            <v>-3.813015582034822</v>
          </cell>
          <cell r="I41">
            <v>26.56</v>
          </cell>
          <cell r="J41">
            <v>26.326999999999998</v>
          </cell>
          <cell r="K41">
            <v>0.23300000000000054</v>
          </cell>
          <cell r="L41">
            <v>1.2329999999999934</v>
          </cell>
          <cell r="M41">
            <v>37.249</v>
          </cell>
          <cell r="N41">
            <v>-28.696072377781974</v>
          </cell>
          <cell r="Q41">
            <v>15.247</v>
          </cell>
          <cell r="R41">
            <v>15.23</v>
          </cell>
          <cell r="S41">
            <v>0.01699999999999946</v>
          </cell>
          <cell r="T41">
            <v>-0.7430000000000039</v>
          </cell>
          <cell r="U41">
            <v>13.015</v>
          </cell>
          <cell r="V41">
            <v>17.14944295044178</v>
          </cell>
        </row>
        <row r="42">
          <cell r="A42">
            <v>39368</v>
          </cell>
          <cell r="B42">
            <v>10.29</v>
          </cell>
          <cell r="C42">
            <v>10.29</v>
          </cell>
          <cell r="D42">
            <v>0</v>
          </cell>
          <cell r="E42">
            <v>0.2920000000000016</v>
          </cell>
          <cell r="F42">
            <v>10.734</v>
          </cell>
          <cell r="G42">
            <v>-4.136389044158747</v>
          </cell>
          <cell r="I42">
            <v>28.263</v>
          </cell>
          <cell r="J42">
            <v>28.263</v>
          </cell>
          <cell r="K42">
            <v>0</v>
          </cell>
          <cell r="L42">
            <v>1.2329999999999934</v>
          </cell>
          <cell r="M42">
            <v>37.787</v>
          </cell>
          <cell r="N42">
            <v>-25.204435387831793</v>
          </cell>
          <cell r="Q42">
            <v>14.819</v>
          </cell>
          <cell r="R42">
            <v>14.819</v>
          </cell>
          <cell r="S42">
            <v>0</v>
          </cell>
          <cell r="T42">
            <v>-0.7430000000000039</v>
          </cell>
          <cell r="U42">
            <v>14.376</v>
          </cell>
          <cell r="V42">
            <v>3.081524763494727</v>
          </cell>
        </row>
        <row r="43">
          <cell r="A43">
            <v>39375</v>
          </cell>
          <cell r="B43">
            <v>9.96406511627907</v>
          </cell>
          <cell r="C43">
            <v>9.96406511627907</v>
          </cell>
          <cell r="D43">
            <v>0</v>
          </cell>
          <cell r="E43">
            <v>0.2920000000000016</v>
          </cell>
          <cell r="F43">
            <v>10.52406511627907</v>
          </cell>
          <cell r="G43">
            <v>-5.32113773349586</v>
          </cell>
          <cell r="I43">
            <v>33.561</v>
          </cell>
          <cell r="J43">
            <v>33.561</v>
          </cell>
          <cell r="K43">
            <v>0</v>
          </cell>
          <cell r="L43">
            <v>1.2329999999999934</v>
          </cell>
          <cell r="M43">
            <v>39.532</v>
          </cell>
          <cell r="N43">
            <v>-15.104219366589092</v>
          </cell>
          <cell r="Q43">
            <v>15.409</v>
          </cell>
          <cell r="R43">
            <v>15.409</v>
          </cell>
          <cell r="S43">
            <v>0</v>
          </cell>
          <cell r="T43">
            <v>-0.7430000000000039</v>
          </cell>
          <cell r="U43">
            <v>14.387</v>
          </cell>
          <cell r="V43">
            <v>7.103635226245913</v>
          </cell>
        </row>
        <row r="44">
          <cell r="A44">
            <v>39382</v>
          </cell>
          <cell r="B44">
            <v>10.599</v>
          </cell>
          <cell r="C44">
            <v>10.599</v>
          </cell>
          <cell r="D44">
            <v>0</v>
          </cell>
          <cell r="E44">
            <v>0.2920000000000016</v>
          </cell>
          <cell r="F44">
            <v>11.01213023255814</v>
          </cell>
          <cell r="G44">
            <v>-3.751592324405067</v>
          </cell>
          <cell r="I44">
            <v>36.468</v>
          </cell>
          <cell r="J44">
            <v>36.468</v>
          </cell>
          <cell r="K44">
            <v>0</v>
          </cell>
          <cell r="L44">
            <v>1.2329999999999934</v>
          </cell>
          <cell r="M44">
            <v>37.784</v>
          </cell>
          <cell r="N44">
            <v>-3.4829557484649456</v>
          </cell>
          <cell r="Q44">
            <v>15.485</v>
          </cell>
          <cell r="R44">
            <v>15.485</v>
          </cell>
          <cell r="S44">
            <v>0</v>
          </cell>
          <cell r="T44">
            <v>-0.7430000000000039</v>
          </cell>
          <cell r="U44">
            <v>14.039000000000001</v>
          </cell>
          <cell r="V44">
            <v>10.299878908754167</v>
          </cell>
        </row>
        <row r="45">
          <cell r="A45">
            <v>39389</v>
          </cell>
          <cell r="B45">
            <v>10.77406511627907</v>
          </cell>
          <cell r="C45">
            <v>10.77406511627907</v>
          </cell>
          <cell r="D45">
            <v>0</v>
          </cell>
          <cell r="E45">
            <v>0.2920000000000016</v>
          </cell>
          <cell r="F45">
            <v>11.647</v>
          </cell>
          <cell r="G45">
            <v>-7.494933319489391</v>
          </cell>
          <cell r="I45">
            <v>40.068000000000005</v>
          </cell>
          <cell r="J45">
            <v>39.968</v>
          </cell>
          <cell r="K45">
            <v>0.10000000000000142</v>
          </cell>
          <cell r="L45">
            <v>1.3329999999999949</v>
          </cell>
          <cell r="M45">
            <v>37.906</v>
          </cell>
          <cell r="N45">
            <v>5.7035825462987475</v>
          </cell>
          <cell r="Q45">
            <v>15.295</v>
          </cell>
          <cell r="R45">
            <v>15.295</v>
          </cell>
          <cell r="S45">
            <v>0</v>
          </cell>
          <cell r="T45">
            <v>-0.7430000000000039</v>
          </cell>
          <cell r="U45">
            <v>14.595</v>
          </cell>
          <cell r="V45">
            <v>4.796163069544363</v>
          </cell>
        </row>
        <row r="46">
          <cell r="A46" t="str">
            <v>OCT</v>
          </cell>
          <cell r="B46">
            <v>52.12113023255814</v>
          </cell>
          <cell r="C46">
            <v>51.98213023255814</v>
          </cell>
          <cell r="F46">
            <v>54.82719534883721</v>
          </cell>
          <cell r="G46">
            <v>-4.935625649026491</v>
          </cell>
          <cell r="I46">
            <v>164.92000000000002</v>
          </cell>
          <cell r="J46">
            <v>164.58700000000002</v>
          </cell>
          <cell r="M46">
            <v>190.258</v>
          </cell>
          <cell r="N46">
            <v>-13.317705431571852</v>
          </cell>
          <cell r="Q46">
            <v>76.255</v>
          </cell>
          <cell r="R46">
            <v>76.238</v>
          </cell>
          <cell r="U46">
            <v>70.412</v>
          </cell>
          <cell r="V46">
            <v>8.2983014258933</v>
          </cell>
        </row>
        <row r="47">
          <cell r="A47">
            <v>39396</v>
          </cell>
          <cell r="B47">
            <v>10.869</v>
          </cell>
          <cell r="C47">
            <v>10.869</v>
          </cell>
          <cell r="D47">
            <v>0</v>
          </cell>
          <cell r="E47">
            <v>0.2920000000000016</v>
          </cell>
          <cell r="F47">
            <v>11.535</v>
          </cell>
          <cell r="G47">
            <v>-5.773732119635895</v>
          </cell>
          <cell r="I47">
            <v>41.438</v>
          </cell>
          <cell r="J47">
            <v>41.438</v>
          </cell>
          <cell r="K47">
            <v>0</v>
          </cell>
          <cell r="L47">
            <v>1.3329999999999949</v>
          </cell>
          <cell r="M47">
            <v>39.282</v>
          </cell>
          <cell r="N47">
            <v>5.488518914515566</v>
          </cell>
          <cell r="Q47">
            <v>15.589</v>
          </cell>
          <cell r="R47">
            <v>15.589</v>
          </cell>
          <cell r="S47">
            <v>0</v>
          </cell>
          <cell r="T47">
            <v>-0.7430000000000039</v>
          </cell>
          <cell r="U47">
            <v>14.972999999999999</v>
          </cell>
          <cell r="V47">
            <v>4.114071996259952</v>
          </cell>
        </row>
        <row r="48">
          <cell r="A48">
            <v>39403</v>
          </cell>
          <cell r="B48">
            <v>11.03306511627907</v>
          </cell>
          <cell r="C48">
            <v>11.100065116279069</v>
          </cell>
          <cell r="D48">
            <v>-0.0669999999999984</v>
          </cell>
          <cell r="E48">
            <v>0.2250000000000032</v>
          </cell>
          <cell r="F48">
            <v>12.02319534883721</v>
          </cell>
          <cell r="G48">
            <v>-8.235167140105531</v>
          </cell>
          <cell r="I48">
            <v>40.799</v>
          </cell>
          <cell r="J48">
            <v>40.711</v>
          </cell>
          <cell r="K48">
            <v>0.08800000000000097</v>
          </cell>
          <cell r="L48">
            <v>1.4209999999999958</v>
          </cell>
          <cell r="M48">
            <v>37.969</v>
          </cell>
          <cell r="N48">
            <v>7.453448866180295</v>
          </cell>
          <cell r="Q48">
            <v>17.412</v>
          </cell>
          <cell r="R48">
            <v>17.414</v>
          </cell>
          <cell r="S48">
            <v>-0.0020000000000024443</v>
          </cell>
          <cell r="T48">
            <v>-0.7450000000000063</v>
          </cell>
          <cell r="U48">
            <v>14.94</v>
          </cell>
          <cell r="V48">
            <v>16.546184738955816</v>
          </cell>
        </row>
        <row r="49">
          <cell r="A49">
            <v>39410</v>
          </cell>
          <cell r="B49">
            <v>11.318</v>
          </cell>
          <cell r="C49">
            <v>11.318</v>
          </cell>
          <cell r="D49">
            <v>0</v>
          </cell>
          <cell r="E49">
            <v>0.2250000000000032</v>
          </cell>
          <cell r="F49">
            <v>12.44013023255814</v>
          </cell>
          <cell r="G49">
            <v>-9.020245058378222</v>
          </cell>
          <cell r="I49">
            <v>39.248</v>
          </cell>
          <cell r="J49">
            <v>39.248</v>
          </cell>
          <cell r="K49">
            <v>0</v>
          </cell>
          <cell r="L49">
            <v>1.4209999999999958</v>
          </cell>
          <cell r="M49">
            <v>37.366</v>
          </cell>
          <cell r="N49">
            <v>5.036664347267575</v>
          </cell>
          <cell r="Q49">
            <v>17.702</v>
          </cell>
          <cell r="R49">
            <v>17.702</v>
          </cell>
          <cell r="S49">
            <v>0</v>
          </cell>
          <cell r="T49">
            <v>-0.7450000000000063</v>
          </cell>
          <cell r="U49">
            <v>14.959000000000001</v>
          </cell>
          <cell r="V49">
            <v>18.33678721839695</v>
          </cell>
        </row>
        <row r="50">
          <cell r="A50">
            <v>39417</v>
          </cell>
          <cell r="B50">
            <v>11.29413023255814</v>
          </cell>
          <cell r="C50">
            <v>11.29413023255814</v>
          </cell>
          <cell r="D50">
            <v>0</v>
          </cell>
          <cell r="E50">
            <v>0.2250000000000032</v>
          </cell>
          <cell r="F50">
            <v>12.31232558139535</v>
          </cell>
          <cell r="G50">
            <v>-8.269724042838519</v>
          </cell>
          <cell r="I50">
            <v>39.231</v>
          </cell>
          <cell r="J50">
            <v>39.231</v>
          </cell>
          <cell r="K50">
            <v>0</v>
          </cell>
          <cell r="L50">
            <v>1.4209999999999958</v>
          </cell>
          <cell r="M50">
            <v>38.704</v>
          </cell>
          <cell r="N50">
            <v>1.361616370400995</v>
          </cell>
          <cell r="Q50">
            <v>17.608</v>
          </cell>
          <cell r="R50">
            <v>17.608</v>
          </cell>
          <cell r="S50">
            <v>0</v>
          </cell>
          <cell r="T50">
            <v>-0.7450000000000063</v>
          </cell>
          <cell r="U50">
            <v>14.842</v>
          </cell>
          <cell r="V50">
            <v>18.6363023851233</v>
          </cell>
        </row>
        <row r="51">
          <cell r="A51" t="str">
            <v>NOV</v>
          </cell>
          <cell r="B51">
            <v>44.514195348837205</v>
          </cell>
          <cell r="C51">
            <v>44.581195348837205</v>
          </cell>
          <cell r="F51">
            <v>48.3106511627907</v>
          </cell>
          <cell r="G51">
            <v>-7.85842401742984</v>
          </cell>
          <cell r="I51">
            <v>160.71599999999998</v>
          </cell>
          <cell r="J51">
            <v>160.628</v>
          </cell>
          <cell r="M51">
            <v>153.321</v>
          </cell>
          <cell r="N51">
            <v>4.823214041129376</v>
          </cell>
          <cell r="Q51">
            <v>68.311</v>
          </cell>
          <cell r="R51">
            <v>68.313</v>
          </cell>
          <cell r="U51">
            <v>59.714</v>
          </cell>
          <cell r="V51">
            <v>14.396958837123634</v>
          </cell>
        </row>
        <row r="52">
          <cell r="A52">
            <v>39424</v>
          </cell>
          <cell r="B52">
            <v>11.549</v>
          </cell>
          <cell r="C52">
            <v>11.549</v>
          </cell>
          <cell r="D52">
            <v>0</v>
          </cell>
          <cell r="E52">
            <v>0.2250000000000032</v>
          </cell>
          <cell r="F52">
            <v>12.33413023255814</v>
          </cell>
          <cell r="G52">
            <v>-6.365509506991003</v>
          </cell>
          <cell r="I52">
            <v>37.543</v>
          </cell>
          <cell r="J52">
            <v>37.543</v>
          </cell>
          <cell r="K52">
            <v>0</v>
          </cell>
          <cell r="L52">
            <v>1.4209999999999958</v>
          </cell>
          <cell r="M52">
            <v>36.272</v>
          </cell>
          <cell r="N52">
            <v>3.5040802823114205</v>
          </cell>
          <cell r="Q52">
            <v>15.684000000000001</v>
          </cell>
          <cell r="R52">
            <v>15.684000000000001</v>
          </cell>
          <cell r="S52">
            <v>0</v>
          </cell>
          <cell r="T52">
            <v>-0.7450000000000063</v>
          </cell>
          <cell r="U52">
            <v>14.380999999999998</v>
          </cell>
          <cell r="V52">
            <v>9.060566024615824</v>
          </cell>
        </row>
        <row r="53">
          <cell r="A53">
            <v>39431</v>
          </cell>
          <cell r="B53">
            <v>11.47606511627907</v>
          </cell>
          <cell r="C53">
            <v>11.572158211349507</v>
          </cell>
          <cell r="D53">
            <v>-0.09609309507043662</v>
          </cell>
          <cell r="E53">
            <v>0.12890690492956658</v>
          </cell>
          <cell r="F53">
            <v>12.05906511627907</v>
          </cell>
          <cell r="G53">
            <v>-4.834537291062318</v>
          </cell>
          <cell r="I53">
            <v>37.975</v>
          </cell>
          <cell r="J53">
            <v>37.98445023976877</v>
          </cell>
          <cell r="K53">
            <v>-0.009450239768767688</v>
          </cell>
          <cell r="L53">
            <v>1.4115497602312281</v>
          </cell>
          <cell r="M53">
            <v>37.199</v>
          </cell>
          <cell r="N53">
            <v>2.086077582730738</v>
          </cell>
          <cell r="Q53">
            <v>17.254</v>
          </cell>
          <cell r="R53">
            <v>17.594086221325725</v>
          </cell>
          <cell r="S53">
            <v>-0.3400862213257234</v>
          </cell>
          <cell r="T53">
            <v>-1.0850862213257297</v>
          </cell>
          <cell r="U53">
            <v>15.323</v>
          </cell>
          <cell r="V53">
            <v>12.601970893428188</v>
          </cell>
        </row>
        <row r="54">
          <cell r="A54">
            <v>39438</v>
          </cell>
          <cell r="B54">
            <v>11.373000000000001</v>
          </cell>
          <cell r="C54">
            <v>11.27225937437337</v>
          </cell>
          <cell r="D54">
            <v>0.10074062562663144</v>
          </cell>
          <cell r="E54">
            <v>0.22964753055619802</v>
          </cell>
          <cell r="F54">
            <v>11.07</v>
          </cell>
          <cell r="G54">
            <v>2.737127371273715</v>
          </cell>
          <cell r="I54">
            <v>37.065000000000005</v>
          </cell>
          <cell r="J54">
            <v>33.25674013006635</v>
          </cell>
          <cell r="K54">
            <v>3.808259869933657</v>
          </cell>
          <cell r="L54">
            <v>5.219809630164885</v>
          </cell>
          <cell r="M54">
            <v>37.336999999999996</v>
          </cell>
          <cell r="N54">
            <v>-0.7284998794760895</v>
          </cell>
          <cell r="Q54">
            <v>15.234000000000002</v>
          </cell>
          <cell r="R54">
            <v>15.492152045184826</v>
          </cell>
          <cell r="S54">
            <v>-0.2581520451848238</v>
          </cell>
          <cell r="T54">
            <v>-1.3432382665105536</v>
          </cell>
          <cell r="U54">
            <v>13.873</v>
          </cell>
          <cell r="V54">
            <v>9.81042312405394</v>
          </cell>
        </row>
        <row r="55">
          <cell r="A55">
            <v>39445</v>
          </cell>
          <cell r="B55">
            <v>6.3759999999999994</v>
          </cell>
          <cell r="C55">
            <v>6.610511429717264</v>
          </cell>
          <cell r="D55">
            <v>-0.2345114297172648</v>
          </cell>
          <cell r="E55">
            <v>-0.004863899161066776</v>
          </cell>
          <cell r="F55">
            <v>6.547</v>
          </cell>
          <cell r="G55">
            <v>-2.611883305330693</v>
          </cell>
          <cell r="I55">
            <v>24.538</v>
          </cell>
          <cell r="J55">
            <v>23.881471490507785</v>
          </cell>
          <cell r="K55">
            <v>0.6565285094922153</v>
          </cell>
          <cell r="L55">
            <v>5.876338139657101</v>
          </cell>
          <cell r="M55">
            <v>23.680999999999997</v>
          </cell>
          <cell r="N55">
            <v>3.618935011190416</v>
          </cell>
          <cell r="Q55">
            <v>9.4</v>
          </cell>
          <cell r="R55">
            <v>8.965932356880586</v>
          </cell>
          <cell r="S55">
            <v>0.43406764311941437</v>
          </cell>
          <cell r="T55">
            <v>-0.9091706233911392</v>
          </cell>
          <cell r="U55">
            <v>8.865</v>
          </cell>
          <cell r="V55">
            <v>6.034968979131435</v>
          </cell>
        </row>
        <row r="56">
          <cell r="A56" t="str">
            <v>DEC</v>
          </cell>
          <cell r="B56">
            <v>40.77406511627907</v>
          </cell>
          <cell r="C56">
            <v>41.003929015440136</v>
          </cell>
          <cell r="F56">
            <v>42.01019534883721</v>
          </cell>
          <cell r="G56">
            <v>-2.942452950513001</v>
          </cell>
          <cell r="I56">
            <v>137.121</v>
          </cell>
          <cell r="J56">
            <v>132.6656618603429</v>
          </cell>
          <cell r="M56">
            <v>134.48899999999998</v>
          </cell>
          <cell r="N56">
            <v>1.9570373785216901</v>
          </cell>
          <cell r="Q56">
            <v>57.572</v>
          </cell>
          <cell r="R56">
            <v>57.73617062339113</v>
          </cell>
          <cell r="U56">
            <v>52.442</v>
          </cell>
          <cell r="V56">
            <v>9.782235612676857</v>
          </cell>
        </row>
        <row r="61">
          <cell r="A61" t="str">
            <v> </v>
          </cell>
          <cell r="B61" t="str">
            <v>     CATTLE FORECASTS</v>
          </cell>
          <cell r="I61" t="str">
            <v>     SHEEP FORECASTS</v>
          </cell>
          <cell r="Q61" t="str">
            <v>     PIG FORECASTS</v>
          </cell>
        </row>
        <row r="62">
          <cell r="B62" t="str">
            <v>       Current year</v>
          </cell>
          <cell r="F62" t="str">
            <v>         Previous year</v>
          </cell>
          <cell r="I62" t="str">
            <v>       Current year</v>
          </cell>
          <cell r="M62" t="str">
            <v>         Previous year</v>
          </cell>
          <cell r="Q62" t="str">
            <v>       Current year</v>
          </cell>
          <cell r="U62" t="str">
            <v>         Previous year</v>
          </cell>
        </row>
        <row r="63">
          <cell r="B63" t="str">
            <v>Actual</v>
          </cell>
          <cell r="C63" t="str">
            <v>Forecast</v>
          </cell>
          <cell r="D63" t="str">
            <v>Deviation</v>
          </cell>
          <cell r="E63" t="str">
            <v>CuSum</v>
          </cell>
          <cell r="F63" t="str">
            <v>Actual</v>
          </cell>
          <cell r="G63" t="str">
            <v>change</v>
          </cell>
          <cell r="I63" t="str">
            <v>Actual</v>
          </cell>
          <cell r="J63" t="str">
            <v>Forecast</v>
          </cell>
          <cell r="K63" t="str">
            <v>Deviation</v>
          </cell>
          <cell r="L63" t="str">
            <v>CuSum</v>
          </cell>
          <cell r="M63" t="str">
            <v>Actual</v>
          </cell>
          <cell r="N63" t="str">
            <v>change</v>
          </cell>
          <cell r="Q63" t="str">
            <v>Actual</v>
          </cell>
          <cell r="R63" t="str">
            <v>Forecast</v>
          </cell>
          <cell r="S63" t="str">
            <v>Deviation</v>
          </cell>
          <cell r="T63" t="str">
            <v>CuSum</v>
          </cell>
          <cell r="U63" t="str">
            <v>Actual</v>
          </cell>
          <cell r="V63" t="str">
            <v>change</v>
          </cell>
        </row>
        <row r="64">
          <cell r="B64" t="str">
            <v>     000 head</v>
          </cell>
          <cell r="G64" t="str">
            <v>%</v>
          </cell>
          <cell r="N64" t="str">
            <v>%</v>
          </cell>
          <cell r="V64" t="str">
            <v>%</v>
          </cell>
        </row>
        <row r="65">
          <cell r="A65" t="str">
            <v>week ending:</v>
          </cell>
        </row>
        <row r="66">
          <cell r="A66">
            <v>39452</v>
          </cell>
          <cell r="B66">
            <v>5.968</v>
          </cell>
          <cell r="C66">
            <v>6.860620112291958</v>
          </cell>
          <cell r="D66">
            <v>-0.8926201122919579</v>
          </cell>
          <cell r="E66">
            <v>-0.8974840114530247</v>
          </cell>
          <cell r="F66">
            <v>6.888195348837209</v>
          </cell>
          <cell r="G66">
            <v>-13.359019340131624</v>
          </cell>
          <cell r="I66">
            <v>24.930999999999997</v>
          </cell>
          <cell r="J66">
            <v>26.40932900873678</v>
          </cell>
          <cell r="K66">
            <v>-1.4783290087367824</v>
          </cell>
          <cell r="L66">
            <v>4.398009130920318</v>
          </cell>
          <cell r="M66">
            <v>23.283</v>
          </cell>
          <cell r="N66">
            <v>7.078125671090476</v>
          </cell>
          <cell r="Q66">
            <v>9.418</v>
          </cell>
          <cell r="R66">
            <v>9.03440533534733</v>
          </cell>
          <cell r="S66">
            <v>0.38359466465266934</v>
          </cell>
          <cell r="T66">
            <v>-0.5255759587384699</v>
          </cell>
          <cell r="U66">
            <v>8.863</v>
          </cell>
          <cell r="V66">
            <v>6.261988040166983</v>
          </cell>
        </row>
        <row r="67">
          <cell r="A67">
            <v>39459</v>
          </cell>
          <cell r="B67">
            <v>10.725</v>
          </cell>
          <cell r="C67">
            <v>11</v>
          </cell>
          <cell r="D67">
            <v>-0.27500000000000036</v>
          </cell>
          <cell r="E67">
            <v>-1.172484011453025</v>
          </cell>
          <cell r="F67">
            <v>11.05006511627907</v>
          </cell>
          <cell r="G67">
            <v>-2.9417484228231388</v>
          </cell>
          <cell r="I67">
            <v>34.423</v>
          </cell>
          <cell r="J67">
            <v>29</v>
          </cell>
          <cell r="K67">
            <v>5.423000000000002</v>
          </cell>
          <cell r="L67">
            <v>9.82100913092032</v>
          </cell>
          <cell r="M67">
            <v>32.851</v>
          </cell>
          <cell r="N67">
            <v>4.7852424583726645</v>
          </cell>
          <cell r="Q67">
            <v>15.318</v>
          </cell>
          <cell r="R67">
            <v>14</v>
          </cell>
          <cell r="S67">
            <v>1.3179999999999996</v>
          </cell>
          <cell r="T67">
            <v>0.7924240412615298</v>
          </cell>
          <cell r="U67">
            <v>14.237</v>
          </cell>
          <cell r="V67">
            <v>7.592891760904678</v>
          </cell>
        </row>
        <row r="68">
          <cell r="A68">
            <v>39466</v>
          </cell>
          <cell r="B68">
            <v>10.948520930232558</v>
          </cell>
          <cell r="C68">
            <v>11</v>
          </cell>
          <cell r="D68">
            <v>-0.0514790697674421</v>
          </cell>
          <cell r="E68">
            <v>-1.2239630812204672</v>
          </cell>
          <cell r="F68">
            <v>11.09606511627907</v>
          </cell>
          <cell r="G68">
            <v>-1.3296982714173993</v>
          </cell>
          <cell r="I68">
            <v>35.931</v>
          </cell>
          <cell r="J68">
            <v>28</v>
          </cell>
          <cell r="K68">
            <v>7.930999999999997</v>
          </cell>
          <cell r="L68">
            <v>17.752009130920317</v>
          </cell>
          <cell r="M68">
            <v>31.756999999999998</v>
          </cell>
          <cell r="N68">
            <v>13.14355890039991</v>
          </cell>
          <cell r="Q68">
            <v>15.365</v>
          </cell>
          <cell r="R68">
            <v>14</v>
          </cell>
          <cell r="S68">
            <v>1.3650000000000002</v>
          </cell>
          <cell r="T68">
            <v>2.15742404126153</v>
          </cell>
          <cell r="U68">
            <v>14.415999999999999</v>
          </cell>
          <cell r="V68">
            <v>6.582963374028864</v>
          </cell>
        </row>
        <row r="69">
          <cell r="A69">
            <v>39473</v>
          </cell>
          <cell r="B69">
            <v>10.74006511627907</v>
          </cell>
          <cell r="C69">
            <v>11</v>
          </cell>
          <cell r="D69">
            <v>-0.25993488372093054</v>
          </cell>
          <cell r="E69">
            <v>-1.4838979649413977</v>
          </cell>
          <cell r="F69">
            <v>11.202</v>
          </cell>
          <cell r="G69">
            <v>-4.123682232823882</v>
          </cell>
          <cell r="I69">
            <v>37.321</v>
          </cell>
          <cell r="J69">
            <v>27</v>
          </cell>
          <cell r="K69">
            <v>10.320999999999998</v>
          </cell>
          <cell r="L69">
            <v>28.073009130920315</v>
          </cell>
          <cell r="M69">
            <v>30.128</v>
          </cell>
          <cell r="N69">
            <v>23.874800849707896</v>
          </cell>
          <cell r="Q69">
            <v>15.164000000000001</v>
          </cell>
          <cell r="R69">
            <v>14</v>
          </cell>
          <cell r="S69">
            <v>1.1640000000000015</v>
          </cell>
          <cell r="T69">
            <v>3.3214240412615315</v>
          </cell>
          <cell r="U69">
            <v>14.335</v>
          </cell>
          <cell r="V69">
            <v>5.783048482734571</v>
          </cell>
        </row>
        <row r="70">
          <cell r="A70">
            <v>39480</v>
          </cell>
          <cell r="B70">
            <v>10.432</v>
          </cell>
          <cell r="C70">
            <v>11.139379887708046</v>
          </cell>
          <cell r="D70">
            <v>-0.7073798877080453</v>
          </cell>
          <cell r="E70">
            <v>-2.191277852649443</v>
          </cell>
          <cell r="F70">
            <v>10.75106511627907</v>
          </cell>
          <cell r="G70">
            <v>-2.967753546538816</v>
          </cell>
          <cell r="I70">
            <v>37.572</v>
          </cell>
          <cell r="J70">
            <v>22.590670991263224</v>
          </cell>
          <cell r="K70">
            <v>14.981329008736779</v>
          </cell>
          <cell r="L70">
            <v>43.05433813965709</v>
          </cell>
          <cell r="M70">
            <v>31.874</v>
          </cell>
          <cell r="N70">
            <v>17.87663926711427</v>
          </cell>
          <cell r="Q70">
            <v>12.091</v>
          </cell>
          <cell r="R70">
            <v>13.96559466465267</v>
          </cell>
          <cell r="S70">
            <v>-1.8745946646526708</v>
          </cell>
          <cell r="T70">
            <v>1.4468293766088607</v>
          </cell>
          <cell r="U70">
            <v>14.427999999999999</v>
          </cell>
          <cell r="V70">
            <v>-16.197671194898817</v>
          </cell>
        </row>
        <row r="71">
          <cell r="A71" t="str">
            <v>JAN</v>
          </cell>
          <cell r="B71">
            <v>48.81358604651163</v>
          </cell>
          <cell r="C71">
            <v>51</v>
          </cell>
          <cell r="F71">
            <v>50.98739069767442</v>
          </cell>
          <cell r="G71">
            <v>-4.263416153323448</v>
          </cell>
          <cell r="I71">
            <v>170.178</v>
          </cell>
          <cell r="J71">
            <v>133</v>
          </cell>
          <cell r="M71">
            <v>149.893</v>
          </cell>
          <cell r="N71">
            <v>13.532986863962961</v>
          </cell>
          <cell r="Q71">
            <v>67.356</v>
          </cell>
          <cell r="R71">
            <v>65</v>
          </cell>
          <cell r="U71">
            <v>66.279</v>
          </cell>
          <cell r="V71">
            <v>1.6249490788937635</v>
          </cell>
        </row>
        <row r="72">
          <cell r="A72">
            <v>39487</v>
          </cell>
          <cell r="B72">
            <v>10.178</v>
          </cell>
          <cell r="C72">
            <v>10</v>
          </cell>
          <cell r="D72">
            <v>0.17800000000000082</v>
          </cell>
          <cell r="E72">
            <v>-2.013277852649442</v>
          </cell>
          <cell r="F72">
            <v>10.475065116279069</v>
          </cell>
          <cell r="G72">
            <v>-2.8359262017131073</v>
          </cell>
          <cell r="I72">
            <v>34.292</v>
          </cell>
          <cell r="J72">
            <v>26</v>
          </cell>
          <cell r="K72">
            <v>8.292000000000002</v>
          </cell>
          <cell r="L72">
            <v>51.34633813965709</v>
          </cell>
          <cell r="M72">
            <v>28.816000000000003</v>
          </cell>
          <cell r="N72">
            <v>19.003331482509722</v>
          </cell>
          <cell r="Q72">
            <v>15.376</v>
          </cell>
          <cell r="R72">
            <v>13</v>
          </cell>
          <cell r="S72">
            <v>2.3759999999999994</v>
          </cell>
          <cell r="T72">
            <v>3.82282937660886</v>
          </cell>
          <cell r="U72">
            <v>14.46</v>
          </cell>
          <cell r="V72">
            <v>6.334716459197793</v>
          </cell>
        </row>
        <row r="73">
          <cell r="A73">
            <v>39494</v>
          </cell>
          <cell r="B73">
            <v>10.778</v>
          </cell>
          <cell r="C73">
            <v>10</v>
          </cell>
          <cell r="D73">
            <v>0.7780000000000005</v>
          </cell>
          <cell r="E73">
            <v>-1.2352778526494417</v>
          </cell>
          <cell r="F73">
            <v>10.77106511627907</v>
          </cell>
          <cell r="G73">
            <v>0.06438438210210506</v>
          </cell>
          <cell r="I73">
            <v>34.132999999999996</v>
          </cell>
          <cell r="J73">
            <v>27</v>
          </cell>
          <cell r="K73">
            <v>7.132999999999996</v>
          </cell>
          <cell r="L73">
            <v>58.47933813965709</v>
          </cell>
          <cell r="M73">
            <v>30.366000000000003</v>
          </cell>
          <cell r="N73">
            <v>12.405321741421304</v>
          </cell>
          <cell r="Q73">
            <v>12.725999999999999</v>
          </cell>
          <cell r="R73">
            <v>13</v>
          </cell>
          <cell r="S73">
            <v>-0.2740000000000009</v>
          </cell>
          <cell r="T73">
            <v>3.548829376608859</v>
          </cell>
          <cell r="U73">
            <v>14.345</v>
          </cell>
          <cell r="V73">
            <v>-11.286162425932389</v>
          </cell>
        </row>
        <row r="74">
          <cell r="A74">
            <v>39501</v>
          </cell>
          <cell r="B74">
            <v>10.115</v>
          </cell>
          <cell r="C74">
            <v>11</v>
          </cell>
          <cell r="D74">
            <v>-0.8849999999999998</v>
          </cell>
          <cell r="E74">
            <v>-2.1202778526494415</v>
          </cell>
          <cell r="F74">
            <v>11.231065116279071</v>
          </cell>
          <cell r="G74">
            <v>-9.93730429593333</v>
          </cell>
          <cell r="I74">
            <v>33.568000000000005</v>
          </cell>
          <cell r="J74">
            <v>27</v>
          </cell>
          <cell r="K74">
            <v>6.568000000000005</v>
          </cell>
          <cell r="L74">
            <v>65.04733813965709</v>
          </cell>
          <cell r="M74">
            <v>29.963</v>
          </cell>
          <cell r="N74">
            <v>12.031505523478984</v>
          </cell>
          <cell r="Q74">
            <v>26.326999999999998</v>
          </cell>
          <cell r="R74">
            <v>14</v>
          </cell>
          <cell r="S74">
            <v>12.326999999999998</v>
          </cell>
          <cell r="T74">
            <v>15.875829376608857</v>
          </cell>
          <cell r="U74">
            <v>14.479000000000001</v>
          </cell>
          <cell r="V74">
            <v>81.82885558394915</v>
          </cell>
        </row>
        <row r="75">
          <cell r="A75">
            <v>39508</v>
          </cell>
          <cell r="B75">
            <v>10.76813023255814</v>
          </cell>
          <cell r="C75">
            <v>11</v>
          </cell>
          <cell r="D75">
            <v>-0.23186976744186083</v>
          </cell>
          <cell r="E75">
            <v>-2.3521476200913023</v>
          </cell>
          <cell r="F75">
            <v>10.752130232558141</v>
          </cell>
          <cell r="G75">
            <v>0.14880772139041198</v>
          </cell>
          <cell r="I75">
            <v>31.601</v>
          </cell>
          <cell r="J75">
            <v>25</v>
          </cell>
          <cell r="K75">
            <v>6.600999999999999</v>
          </cell>
          <cell r="L75">
            <v>71.64833813965708</v>
          </cell>
          <cell r="M75">
            <v>28.683999999999997</v>
          </cell>
          <cell r="N75">
            <v>10.169432436201362</v>
          </cell>
          <cell r="Q75">
            <v>3.59</v>
          </cell>
          <cell r="R75">
            <v>14</v>
          </cell>
          <cell r="S75">
            <v>-10.41</v>
          </cell>
          <cell r="T75">
            <v>5.465829376608857</v>
          </cell>
          <cell r="U75">
            <v>14.630999999999998</v>
          </cell>
          <cell r="V75">
            <v>-75.46305789077985</v>
          </cell>
        </row>
        <row r="76">
          <cell r="A76" t="str">
            <v>FEB</v>
          </cell>
          <cell r="B76">
            <v>41.83913023255815</v>
          </cell>
          <cell r="C76">
            <v>42</v>
          </cell>
          <cell r="F76">
            <v>43.229325581395344</v>
          </cell>
          <cell r="G76">
            <v>-3.215861756204447</v>
          </cell>
          <cell r="I76">
            <v>133.594</v>
          </cell>
          <cell r="J76">
            <v>105</v>
          </cell>
          <cell r="M76">
            <v>117.82900000000001</v>
          </cell>
          <cell r="N76">
            <v>13.37955851276</v>
          </cell>
          <cell r="Q76">
            <v>58.01899999999999</v>
          </cell>
          <cell r="R76">
            <v>54</v>
          </cell>
          <cell r="U76">
            <v>57.915</v>
          </cell>
          <cell r="V76">
            <v>0.17957351290682766</v>
          </cell>
        </row>
        <row r="77">
          <cell r="A77">
            <v>39515</v>
          </cell>
          <cell r="B77">
            <v>10.928</v>
          </cell>
          <cell r="C77">
            <v>11</v>
          </cell>
          <cell r="D77">
            <v>-0.07199999999999918</v>
          </cell>
          <cell r="E77">
            <v>-2.4241476200913015</v>
          </cell>
          <cell r="F77">
            <v>10.57006511627907</v>
          </cell>
          <cell r="G77">
            <v>3.386307272314454</v>
          </cell>
          <cell r="I77">
            <v>29.638</v>
          </cell>
          <cell r="J77">
            <v>26</v>
          </cell>
          <cell r="K77">
            <v>3.6380000000000017</v>
          </cell>
          <cell r="L77">
            <v>75.28633813965709</v>
          </cell>
          <cell r="M77">
            <v>28.928</v>
          </cell>
          <cell r="N77">
            <v>2.4543694690265454</v>
          </cell>
          <cell r="Q77">
            <v>15.289000000000001</v>
          </cell>
          <cell r="R77">
            <v>14</v>
          </cell>
          <cell r="S77">
            <v>1.2890000000000015</v>
          </cell>
          <cell r="T77">
            <v>6.754829376608859</v>
          </cell>
          <cell r="U77">
            <v>14.597000000000001</v>
          </cell>
          <cell r="V77">
            <v>4.740700143865183</v>
          </cell>
        </row>
        <row r="78">
          <cell r="A78">
            <v>39522</v>
          </cell>
          <cell r="B78">
            <v>10.595</v>
          </cell>
          <cell r="C78">
            <v>11</v>
          </cell>
          <cell r="D78">
            <v>-0.40499999999999936</v>
          </cell>
          <cell r="E78">
            <v>-2.829147620091301</v>
          </cell>
          <cell r="F78">
            <v>10.55713023255814</v>
          </cell>
          <cell r="G78">
            <v>0.35871270513523257</v>
          </cell>
          <cell r="I78">
            <v>32.848</v>
          </cell>
          <cell r="J78">
            <v>27</v>
          </cell>
          <cell r="K78">
            <v>5.847999999999999</v>
          </cell>
          <cell r="L78">
            <v>81.13433813965709</v>
          </cell>
          <cell r="M78">
            <v>29.372</v>
          </cell>
          <cell r="N78">
            <v>11.834400108947293</v>
          </cell>
          <cell r="Q78">
            <v>12.786</v>
          </cell>
          <cell r="R78">
            <v>13</v>
          </cell>
          <cell r="S78">
            <v>-0.2140000000000004</v>
          </cell>
          <cell r="T78">
            <v>6.540829376608858</v>
          </cell>
          <cell r="U78">
            <v>13.625</v>
          </cell>
          <cell r="V78">
            <v>-6.157798165137621</v>
          </cell>
        </row>
        <row r="79">
          <cell r="A79">
            <v>39529</v>
          </cell>
          <cell r="B79">
            <v>10.186</v>
          </cell>
          <cell r="C79">
            <v>11</v>
          </cell>
          <cell r="D79">
            <v>-0.8140000000000001</v>
          </cell>
          <cell r="E79">
            <v>-3.643147620091301</v>
          </cell>
          <cell r="F79">
            <v>10.29006511627907</v>
          </cell>
          <cell r="G79">
            <v>-1.011316401821773</v>
          </cell>
          <cell r="I79">
            <v>31.701</v>
          </cell>
          <cell r="J79">
            <v>26</v>
          </cell>
          <cell r="K79">
            <v>5.7010000000000005</v>
          </cell>
          <cell r="L79">
            <v>86.8353381396571</v>
          </cell>
          <cell r="M79">
            <v>28.709</v>
          </cell>
          <cell r="N79">
            <v>10.421818941795252</v>
          </cell>
          <cell r="Q79">
            <v>12.929</v>
          </cell>
          <cell r="R79">
            <v>11</v>
          </cell>
          <cell r="S79">
            <v>1.9290000000000003</v>
          </cell>
          <cell r="T79">
            <v>8.469829376608859</v>
          </cell>
          <cell r="U79">
            <v>11.638</v>
          </cell>
          <cell r="V79">
            <v>11.092971300910804</v>
          </cell>
        </row>
        <row r="80">
          <cell r="A80">
            <v>39536</v>
          </cell>
          <cell r="B80">
            <v>8.930000000000001</v>
          </cell>
          <cell r="C80">
            <v>10</v>
          </cell>
          <cell r="D80">
            <v>-1.0699999999999985</v>
          </cell>
          <cell r="E80">
            <v>-4.713147620091299</v>
          </cell>
          <cell r="F80">
            <v>10.246</v>
          </cell>
          <cell r="G80">
            <v>-12.844036697247702</v>
          </cell>
          <cell r="I80">
            <v>26.842999999999996</v>
          </cell>
          <cell r="J80">
            <v>27</v>
          </cell>
          <cell r="K80">
            <v>-0.15700000000000358</v>
          </cell>
          <cell r="L80">
            <v>86.67833813965709</v>
          </cell>
          <cell r="M80">
            <v>29.605999999999998</v>
          </cell>
          <cell r="N80">
            <v>-9.33256772275891</v>
          </cell>
          <cell r="Q80">
            <v>12.201999999999998</v>
          </cell>
          <cell r="R80">
            <v>14</v>
          </cell>
          <cell r="S80">
            <v>-1.7980000000000018</v>
          </cell>
          <cell r="T80">
            <v>6.671829376608857</v>
          </cell>
          <cell r="U80">
            <v>14.636</v>
          </cell>
          <cell r="V80">
            <v>-16.630226837933876</v>
          </cell>
        </row>
        <row r="81">
          <cell r="A81" t="str">
            <v>MAR</v>
          </cell>
          <cell r="B81">
            <v>40.639</v>
          </cell>
          <cell r="C81">
            <v>43</v>
          </cell>
          <cell r="F81">
            <v>41.66326046511628</v>
          </cell>
          <cell r="G81">
            <v>-2.4584260897532744</v>
          </cell>
          <cell r="I81">
            <v>121.03</v>
          </cell>
          <cell r="J81">
            <v>106</v>
          </cell>
          <cell r="M81">
            <v>116.615</v>
          </cell>
          <cell r="N81">
            <v>3.7859623547571175</v>
          </cell>
          <cell r="Q81">
            <v>53.206</v>
          </cell>
          <cell r="R81">
            <v>52</v>
          </cell>
          <cell r="U81">
            <v>54.495999999999995</v>
          </cell>
          <cell r="V81">
            <v>-2.367146212566041</v>
          </cell>
        </row>
        <row r="83">
          <cell r="A83" t="str">
            <v>YEAR</v>
          </cell>
          <cell r="B83">
            <v>529.9490186046513</v>
          </cell>
          <cell r="C83">
            <v>534.6621662247424</v>
          </cell>
          <cell r="F83">
            <v>548.6634093023256</v>
          </cell>
          <cell r="I83">
            <v>1546.808</v>
          </cell>
          <cell r="J83">
            <v>1460.129661860343</v>
          </cell>
          <cell r="M83">
            <v>1518.64</v>
          </cell>
          <cell r="N83">
            <v>1.8548174682610608</v>
          </cell>
          <cell r="Q83">
            <v>750.7589999999998</v>
          </cell>
          <cell r="R83">
            <v>744.0871706233912</v>
          </cell>
          <cell r="U83">
            <v>697.2310000000001</v>
          </cell>
          <cell r="V83">
            <v>7.677226055640048</v>
          </cell>
        </row>
        <row r="85">
          <cell r="A85" t="str">
            <v>Notes: 1. "Actual" slaughterings are based on MLC levy returns.</v>
          </cell>
        </row>
        <row r="86">
          <cell r="A86" t="str">
            <v>            2. A negative deviation indicates that the forecast was too high and a positive deviation that the forecast was too low.</v>
          </cell>
        </row>
        <row r="87">
          <cell r="A87" t="str">
            <v>Source: MLC Economic and Policy Analysis Group.</v>
          </cell>
        </row>
        <row r="92">
          <cell r="A92" t="str">
            <v> </v>
          </cell>
        </row>
      </sheetData>
      <sheetData sheetId="7">
        <row r="1">
          <cell r="A1" t="str">
            <v>REGIONAL LEVY MONITOR 2007/08</v>
          </cell>
        </row>
        <row r="2">
          <cell r="A2" t="str">
            <v>Based on January 2008 forecasts</v>
          </cell>
        </row>
        <row r="4">
          <cell r="B4" t="str">
            <v>     CATTLE FORECASTS</v>
          </cell>
          <cell r="J4" t="str">
            <v>     SHEEP FORECASTS</v>
          </cell>
          <cell r="R4" t="str">
            <v>     PIG FORECASTS</v>
          </cell>
        </row>
        <row r="5">
          <cell r="B5" t="str">
            <v>       Current year</v>
          </cell>
          <cell r="F5" t="str">
            <v>  Previous year</v>
          </cell>
          <cell r="J5" t="str">
            <v>       Current year</v>
          </cell>
          <cell r="N5" t="str">
            <v>         Previous year</v>
          </cell>
          <cell r="R5" t="str">
            <v>       Current year</v>
          </cell>
          <cell r="V5" t="str">
            <v>         Previous year</v>
          </cell>
        </row>
        <row r="6">
          <cell r="B6" t="str">
            <v>Actual</v>
          </cell>
          <cell r="C6" t="str">
            <v>Forecast</v>
          </cell>
          <cell r="D6" t="str">
            <v>Deviation</v>
          </cell>
          <cell r="E6" t="str">
            <v>CuSum</v>
          </cell>
          <cell r="F6" t="str">
            <v>Actual</v>
          </cell>
          <cell r="G6" t="str">
            <v>change</v>
          </cell>
          <cell r="J6" t="str">
            <v>Actual</v>
          </cell>
          <cell r="K6" t="str">
            <v>Forecast</v>
          </cell>
          <cell r="L6" t="str">
            <v>Deviation</v>
          </cell>
          <cell r="M6" t="str">
            <v>CuSum</v>
          </cell>
          <cell r="N6" t="str">
            <v>Actual</v>
          </cell>
          <cell r="O6" t="str">
            <v>change</v>
          </cell>
          <cell r="R6" t="str">
            <v>Actual</v>
          </cell>
          <cell r="S6" t="str">
            <v>Forecast</v>
          </cell>
          <cell r="T6" t="str">
            <v>Deviation</v>
          </cell>
          <cell r="U6" t="str">
            <v>CuSum</v>
          </cell>
          <cell r="V6" t="str">
            <v>Actual</v>
          </cell>
          <cell r="W6" t="str">
            <v>change</v>
          </cell>
        </row>
        <row r="7">
          <cell r="B7" t="str">
            <v>     000 head</v>
          </cell>
          <cell r="G7" t="str">
            <v>%</v>
          </cell>
          <cell r="O7" t="str">
            <v>%</v>
          </cell>
          <cell r="W7" t="str">
            <v>%</v>
          </cell>
        </row>
        <row r="9">
          <cell r="A9" t="str">
            <v>England</v>
          </cell>
        </row>
        <row r="10">
          <cell r="A10">
            <v>37712</v>
          </cell>
          <cell r="B10">
            <v>136.72776279069768</v>
          </cell>
          <cell r="C10">
            <v>136.69376279069766</v>
          </cell>
          <cell r="D10">
            <v>0.034000000000020236</v>
          </cell>
          <cell r="E10">
            <v>0.034000000000020236</v>
          </cell>
          <cell r="F10">
            <v>128.34389767441863</v>
          </cell>
          <cell r="G10">
            <v>6.532344169215705</v>
          </cell>
          <cell r="J10">
            <v>856.916</v>
          </cell>
          <cell r="K10">
            <v>856.916</v>
          </cell>
          <cell r="L10">
            <v>0</v>
          </cell>
          <cell r="M10">
            <v>0</v>
          </cell>
          <cell r="N10">
            <v>772.5770000000001</v>
          </cell>
          <cell r="O10">
            <v>10.91658177760921</v>
          </cell>
          <cell r="R10">
            <v>692.6190000000001</v>
          </cell>
          <cell r="S10">
            <v>692.6190000000001</v>
          </cell>
          <cell r="T10">
            <v>0</v>
          </cell>
          <cell r="U10">
            <v>0</v>
          </cell>
          <cell r="V10">
            <v>641.289</v>
          </cell>
          <cell r="W10">
            <v>8.00419155794036</v>
          </cell>
        </row>
        <row r="11">
          <cell r="A11">
            <v>37742</v>
          </cell>
          <cell r="B11">
            <v>107.95550697674418</v>
          </cell>
          <cell r="C11">
            <v>107.95450697674417</v>
          </cell>
          <cell r="D11">
            <v>0.0010000000000047748</v>
          </cell>
          <cell r="E11">
            <v>0.03500000000002501</v>
          </cell>
          <cell r="F11">
            <v>113.09348372093025</v>
          </cell>
          <cell r="G11">
            <v>-4.543123595754253</v>
          </cell>
          <cell r="J11">
            <v>667.569</v>
          </cell>
          <cell r="K11">
            <v>667.569</v>
          </cell>
          <cell r="L11">
            <v>0</v>
          </cell>
          <cell r="M11">
            <v>0</v>
          </cell>
          <cell r="N11">
            <v>601.9580000000001</v>
          </cell>
          <cell r="O11">
            <v>10.899597646347402</v>
          </cell>
          <cell r="R11">
            <v>540.215</v>
          </cell>
          <cell r="S11">
            <v>540.666</v>
          </cell>
          <cell r="T11">
            <v>-0.45100000000002183</v>
          </cell>
          <cell r="U11">
            <v>-0.45100000000002183</v>
          </cell>
          <cell r="V11">
            <v>538.182</v>
          </cell>
          <cell r="W11">
            <v>0.3777532507590422</v>
          </cell>
        </row>
        <row r="12">
          <cell r="A12">
            <v>37773</v>
          </cell>
          <cell r="B12">
            <v>116.09410697674417</v>
          </cell>
          <cell r="C12">
            <v>115.93710697674419</v>
          </cell>
          <cell r="D12">
            <v>0.15699999999998226</v>
          </cell>
          <cell r="E12">
            <v>0.19200000000000728</v>
          </cell>
          <cell r="F12">
            <v>111.75710697674418</v>
          </cell>
          <cell r="G12">
            <v>3.880737536363114</v>
          </cell>
          <cell r="J12">
            <v>688.336</v>
          </cell>
          <cell r="K12">
            <v>686.6980000000001</v>
          </cell>
          <cell r="L12">
            <v>1.63799999999992</v>
          </cell>
          <cell r="M12">
            <v>1.63799999999992</v>
          </cell>
          <cell r="N12">
            <v>661.2940000000001</v>
          </cell>
          <cell r="O12">
            <v>4.089255308531435</v>
          </cell>
          <cell r="R12">
            <v>567.5179999999999</v>
          </cell>
          <cell r="S12">
            <v>568.172</v>
          </cell>
          <cell r="T12">
            <v>-0.65400000000011</v>
          </cell>
          <cell r="U12">
            <v>-1.1050000000001319</v>
          </cell>
          <cell r="V12">
            <v>545.284</v>
          </cell>
          <cell r="W12">
            <v>4.077508234241222</v>
          </cell>
        </row>
        <row r="13">
          <cell r="A13">
            <v>37803</v>
          </cell>
          <cell r="B13">
            <v>141.71427441860465</v>
          </cell>
          <cell r="C13">
            <v>141.7175581395349</v>
          </cell>
          <cell r="D13">
            <v>-0.0032837209302556403</v>
          </cell>
          <cell r="E13">
            <v>0.18871627906975164</v>
          </cell>
          <cell r="F13">
            <v>134.2284465116279</v>
          </cell>
          <cell r="G13">
            <v>5.576931046675156</v>
          </cell>
          <cell r="J13">
            <v>922.9190000000001</v>
          </cell>
          <cell r="K13">
            <v>922.902</v>
          </cell>
          <cell r="L13">
            <v>0.01700000000005275</v>
          </cell>
          <cell r="M13">
            <v>1.6549999999999727</v>
          </cell>
          <cell r="N13">
            <v>883.5970000000002</v>
          </cell>
          <cell r="O13">
            <v>4.450218821476298</v>
          </cell>
          <cell r="R13">
            <v>707.1099999999999</v>
          </cell>
          <cell r="S13">
            <v>707.11</v>
          </cell>
          <cell r="T13">
            <v>-1.1368683772161603E-13</v>
          </cell>
          <cell r="U13">
            <v>-1.1050000000002456</v>
          </cell>
          <cell r="V13">
            <v>677.516</v>
          </cell>
          <cell r="W13">
            <v>4.368014925108767</v>
          </cell>
        </row>
        <row r="14">
          <cell r="A14">
            <v>37834</v>
          </cell>
          <cell r="B14">
            <v>86.90763720930232</v>
          </cell>
          <cell r="C14">
            <v>86.72363720930232</v>
          </cell>
          <cell r="D14">
            <v>0.1839999999999975</v>
          </cell>
          <cell r="E14">
            <v>0.37271627906974913</v>
          </cell>
          <cell r="F14">
            <v>107.40630697674418</v>
          </cell>
          <cell r="G14">
            <v>-19.085163939097413</v>
          </cell>
          <cell r="J14">
            <v>582.174</v>
          </cell>
          <cell r="K14">
            <v>581.406</v>
          </cell>
          <cell r="L14">
            <v>0.7680000000000291</v>
          </cell>
          <cell r="M14">
            <v>2.423000000000002</v>
          </cell>
          <cell r="N14">
            <v>763.7949999999998</v>
          </cell>
          <cell r="O14">
            <v>-23.778762626097304</v>
          </cell>
          <cell r="R14">
            <v>486.519</v>
          </cell>
          <cell r="S14">
            <v>486.22099999999995</v>
          </cell>
          <cell r="T14">
            <v>0.29800000000005866</v>
          </cell>
          <cell r="U14">
            <v>-0.8070000000001869</v>
          </cell>
          <cell r="V14">
            <v>549.8759999999999</v>
          </cell>
          <cell r="W14">
            <v>-11.522052244506014</v>
          </cell>
        </row>
        <row r="15">
          <cell r="A15">
            <v>37865</v>
          </cell>
          <cell r="B15">
            <v>106.61400930232558</v>
          </cell>
          <cell r="C15">
            <v>106.67800930232558</v>
          </cell>
          <cell r="D15">
            <v>-0.06399999999999295</v>
          </cell>
          <cell r="E15">
            <v>0.3087162790697562</v>
          </cell>
          <cell r="F15">
            <v>122.75173953488371</v>
          </cell>
          <cell r="G15">
            <v>-13.14664076754049</v>
          </cell>
          <cell r="H15" t="str">
            <v/>
          </cell>
          <cell r="J15">
            <v>697.5029999999999</v>
          </cell>
          <cell r="K15">
            <v>697.506</v>
          </cell>
          <cell r="L15">
            <v>-0.0030000000000427463</v>
          </cell>
          <cell r="M15">
            <v>2.419999999999959</v>
          </cell>
          <cell r="N15">
            <v>814.5269999999998</v>
          </cell>
          <cell r="O15">
            <v>-14.367111219149265</v>
          </cell>
          <cell r="R15">
            <v>557.575</v>
          </cell>
          <cell r="S15">
            <v>557.575</v>
          </cell>
          <cell r="T15">
            <v>0</v>
          </cell>
          <cell r="U15">
            <v>-0.8070000000001869</v>
          </cell>
          <cell r="V15">
            <v>588.7389999999999</v>
          </cell>
          <cell r="W15">
            <v>-5.29334730670125</v>
          </cell>
        </row>
        <row r="16">
          <cell r="A16">
            <v>37895</v>
          </cell>
          <cell r="B16">
            <v>146.54613023255814</v>
          </cell>
          <cell r="C16">
            <v>144.54941860465115</v>
          </cell>
          <cell r="D16">
            <v>1.9967116279069899</v>
          </cell>
          <cell r="E16">
            <v>2.305427906976746</v>
          </cell>
          <cell r="F16">
            <v>157.08583255813954</v>
          </cell>
          <cell r="G16">
            <v>-6.709518072981226</v>
          </cell>
          <cell r="J16">
            <v>925.509</v>
          </cell>
          <cell r="K16">
            <v>900.748</v>
          </cell>
          <cell r="L16">
            <v>24.760999999999967</v>
          </cell>
          <cell r="M16">
            <v>27.180999999999926</v>
          </cell>
          <cell r="N16">
            <v>955.6969999999999</v>
          </cell>
          <cell r="O16">
            <v>-3.158741735089663</v>
          </cell>
          <cell r="R16">
            <v>768.09</v>
          </cell>
          <cell r="S16">
            <v>763.907</v>
          </cell>
          <cell r="T16">
            <v>4.182999999999993</v>
          </cell>
          <cell r="U16">
            <v>3.375999999999806</v>
          </cell>
          <cell r="V16">
            <v>736.687</v>
          </cell>
          <cell r="W16">
            <v>4.262733019586335</v>
          </cell>
        </row>
        <row r="17">
          <cell r="A17">
            <v>37926</v>
          </cell>
          <cell r="B17">
            <v>128.31352093023256</v>
          </cell>
          <cell r="C17">
            <v>126.82532558139533</v>
          </cell>
          <cell r="D17">
            <v>1.4881953488372233</v>
          </cell>
          <cell r="E17">
            <v>3.7936232558139693</v>
          </cell>
          <cell r="F17">
            <v>135.03977674418604</v>
          </cell>
          <cell r="G17">
            <v>-4.980944115966253</v>
          </cell>
          <cell r="J17">
            <v>815.211</v>
          </cell>
          <cell r="K17">
            <v>804.6020000000001</v>
          </cell>
          <cell r="L17">
            <v>10.608999999999924</v>
          </cell>
          <cell r="M17">
            <v>37.78999999999985</v>
          </cell>
          <cell r="N17">
            <v>734.4659999999998</v>
          </cell>
          <cell r="O17">
            <v>10.99370154642969</v>
          </cell>
          <cell r="R17">
            <v>646.4999999999999</v>
          </cell>
          <cell r="S17">
            <v>635.575</v>
          </cell>
          <cell r="T17">
            <v>10.92499999999984</v>
          </cell>
          <cell r="U17">
            <v>14.300999999999647</v>
          </cell>
          <cell r="V17">
            <v>605.057</v>
          </cell>
          <cell r="W17">
            <v>6.84943732573953</v>
          </cell>
        </row>
        <row r="18">
          <cell r="A18">
            <v>37956</v>
          </cell>
          <cell r="B18">
            <v>109.4726976744186</v>
          </cell>
          <cell r="C18">
            <v>114.72450439484963</v>
          </cell>
          <cell r="D18">
            <v>-5.251806720431034</v>
          </cell>
          <cell r="E18">
            <v>-1.4581834646170648</v>
          </cell>
          <cell r="F18">
            <v>107.80535813953486</v>
          </cell>
          <cell r="G18">
            <v>1.5466202827559385</v>
          </cell>
          <cell r="J18">
            <v>838.538</v>
          </cell>
          <cell r="K18">
            <v>724.730086810528</v>
          </cell>
          <cell r="L18">
            <v>113.80791318947206</v>
          </cell>
          <cell r="M18">
            <v>151.5979131894719</v>
          </cell>
          <cell r="N18">
            <v>749.3660000000002</v>
          </cell>
          <cell r="O18">
            <v>11.899659178558906</v>
          </cell>
          <cell r="R18">
            <v>574.213</v>
          </cell>
          <cell r="S18">
            <v>558.2230636099621</v>
          </cell>
          <cell r="T18">
            <v>15.989936390037883</v>
          </cell>
          <cell r="U18">
            <v>30.29093639003753</v>
          </cell>
          <cell r="V18">
            <v>559.6029999999998</v>
          </cell>
          <cell r="W18">
            <v>2.610779427558498</v>
          </cell>
        </row>
        <row r="19">
          <cell r="A19">
            <v>37987</v>
          </cell>
          <cell r="B19">
            <v>150.52809302325582</v>
          </cell>
          <cell r="C19">
            <v>131</v>
          </cell>
          <cell r="D19">
            <v>19.52809302325582</v>
          </cell>
          <cell r="E19">
            <v>18.069909558638756</v>
          </cell>
          <cell r="F19">
            <v>153.4877162790698</v>
          </cell>
          <cell r="G19">
            <v>-1.9282476328156548</v>
          </cell>
          <cell r="J19">
            <v>934.415</v>
          </cell>
          <cell r="K19">
            <v>943.9999999999999</v>
          </cell>
          <cell r="L19">
            <v>-9.584999999999923</v>
          </cell>
          <cell r="M19">
            <v>142.012913189472</v>
          </cell>
          <cell r="N19">
            <v>805.744</v>
          </cell>
          <cell r="O19">
            <v>15.969216028912399</v>
          </cell>
          <cell r="R19">
            <v>719.4550000000002</v>
          </cell>
          <cell r="S19">
            <v>671</v>
          </cell>
          <cell r="T19">
            <v>48.455000000000155</v>
          </cell>
          <cell r="U19">
            <v>78.74593639003768</v>
          </cell>
          <cell r="V19">
            <v>687.3299999999999</v>
          </cell>
          <cell r="W19">
            <v>4.673882996522806</v>
          </cell>
        </row>
        <row r="20">
          <cell r="A20">
            <v>38018</v>
          </cell>
          <cell r="B20">
            <v>122.4812093023256</v>
          </cell>
          <cell r="C20">
            <v>105</v>
          </cell>
          <cell r="D20">
            <v>17.481209302325595</v>
          </cell>
          <cell r="E20">
            <v>35.55111886096435</v>
          </cell>
          <cell r="F20">
            <v>121.16550232558141</v>
          </cell>
          <cell r="G20">
            <v>1.085875889994469</v>
          </cell>
          <cell r="H20" t="str">
            <v/>
          </cell>
          <cell r="J20">
            <v>739.712</v>
          </cell>
          <cell r="K20">
            <v>751</v>
          </cell>
          <cell r="L20">
            <v>-11.288000000000011</v>
          </cell>
          <cell r="M20">
            <v>130.72491318947198</v>
          </cell>
          <cell r="N20">
            <v>636.5050000000001</v>
          </cell>
          <cell r="O20">
            <v>16.21464089048787</v>
          </cell>
          <cell r="R20">
            <v>595.1579999999999</v>
          </cell>
          <cell r="S20">
            <v>582</v>
          </cell>
          <cell r="T20">
            <v>13.157999999999902</v>
          </cell>
          <cell r="U20">
            <v>91.90393639003759</v>
          </cell>
          <cell r="V20">
            <v>573.074</v>
          </cell>
          <cell r="W20">
            <v>3.8536035485818445</v>
          </cell>
        </row>
        <row r="21">
          <cell r="A21">
            <v>38047</v>
          </cell>
          <cell r="B21">
            <v>111.49411138100444</v>
          </cell>
          <cell r="C21">
            <v>102</v>
          </cell>
          <cell r="D21">
            <v>9.494111381004444</v>
          </cell>
          <cell r="E21">
            <v>45.045230241968795</v>
          </cell>
          <cell r="F21">
            <v>115.2516418604651</v>
          </cell>
          <cell r="G21">
            <v>-3.2602836877672274</v>
          </cell>
          <cell r="J21">
            <v>742.1462148830274</v>
          </cell>
          <cell r="K21">
            <v>752</v>
          </cell>
          <cell r="L21">
            <v>-9.853785116972631</v>
          </cell>
          <cell r="M21">
            <v>120.87112807249935</v>
          </cell>
          <cell r="N21">
            <v>687.694</v>
          </cell>
          <cell r="O21">
            <v>7.918087824385196</v>
          </cell>
          <cell r="R21">
            <v>572.5821660658231</v>
          </cell>
          <cell r="S21">
            <v>560</v>
          </cell>
          <cell r="T21">
            <v>12.582166065823117</v>
          </cell>
          <cell r="U21">
            <v>104.4861024558607</v>
          </cell>
          <cell r="V21">
            <v>579.72</v>
          </cell>
          <cell r="W21">
            <v>-1.2312554223033345</v>
          </cell>
        </row>
        <row r="22">
          <cell r="A22" t="str">
            <v>Year</v>
          </cell>
          <cell r="B22">
            <v>1464.8490602182137</v>
          </cell>
          <cell r="C22">
            <v>1419.8038299762447</v>
          </cell>
          <cell r="F22">
            <v>1507.4168093023256</v>
          </cell>
          <cell r="J22">
            <v>9410.948214883027</v>
          </cell>
          <cell r="K22">
            <v>9290.077086810528</v>
          </cell>
          <cell r="N22">
            <v>9067.22</v>
          </cell>
          <cell r="R22">
            <v>7427.554166065823</v>
          </cell>
          <cell r="S22">
            <v>7323.068063609962</v>
          </cell>
          <cell r="V22">
            <v>7282.357</v>
          </cell>
        </row>
        <row r="24">
          <cell r="A24" t="str">
            <v>Wales</v>
          </cell>
        </row>
        <row r="25">
          <cell r="A25">
            <v>37712</v>
          </cell>
          <cell r="B25">
            <v>12.478851162790697</v>
          </cell>
          <cell r="C25">
            <v>12.478851162790697</v>
          </cell>
          <cell r="D25">
            <v>0</v>
          </cell>
          <cell r="E25">
            <v>0</v>
          </cell>
          <cell r="F25">
            <v>12.261627906976745</v>
          </cell>
          <cell r="G25">
            <v>1.771569464201022</v>
          </cell>
          <cell r="J25">
            <v>305.326</v>
          </cell>
          <cell r="K25">
            <v>305.326</v>
          </cell>
          <cell r="L25">
            <v>0</v>
          </cell>
          <cell r="M25">
            <v>0</v>
          </cell>
          <cell r="N25">
            <v>325.002</v>
          </cell>
          <cell r="O25">
            <v>-6.054116590051748</v>
          </cell>
          <cell r="R25">
            <v>2.552</v>
          </cell>
          <cell r="S25">
            <v>2.552</v>
          </cell>
          <cell r="T25">
            <v>0</v>
          </cell>
          <cell r="U25">
            <v>0</v>
          </cell>
          <cell r="V25">
            <v>2.365</v>
          </cell>
          <cell r="W25">
            <v>7.906976744186039</v>
          </cell>
        </row>
        <row r="26">
          <cell r="A26">
            <v>37742</v>
          </cell>
          <cell r="B26">
            <v>9.62020465116279</v>
          </cell>
          <cell r="C26">
            <v>9.62020465116279</v>
          </cell>
          <cell r="D26">
            <v>0</v>
          </cell>
          <cell r="E26">
            <v>0</v>
          </cell>
          <cell r="F26">
            <v>10.714702325581396</v>
          </cell>
          <cell r="G26">
            <v>-10.214914434024806</v>
          </cell>
          <cell r="J26">
            <v>260.62399999999997</v>
          </cell>
          <cell r="K26">
            <v>260.62399999999997</v>
          </cell>
          <cell r="L26">
            <v>0</v>
          </cell>
          <cell r="M26">
            <v>0</v>
          </cell>
          <cell r="N26">
            <v>235.535</v>
          </cell>
          <cell r="O26">
            <v>10.651920096800893</v>
          </cell>
          <cell r="R26">
            <v>2.254</v>
          </cell>
          <cell r="S26">
            <v>2.254</v>
          </cell>
          <cell r="T26">
            <v>0</v>
          </cell>
          <cell r="U26">
            <v>0</v>
          </cell>
          <cell r="V26">
            <v>2.005</v>
          </cell>
          <cell r="W26">
            <v>12.418952618453872</v>
          </cell>
        </row>
        <row r="27">
          <cell r="A27">
            <v>37773</v>
          </cell>
          <cell r="B27">
            <v>9.948837209302326</v>
          </cell>
          <cell r="C27">
            <v>9.948837209302326</v>
          </cell>
          <cell r="D27">
            <v>0</v>
          </cell>
          <cell r="E27">
            <v>0</v>
          </cell>
          <cell r="F27">
            <v>10.662032558139535</v>
          </cell>
          <cell r="G27">
            <v>-6.689112464703044</v>
          </cell>
          <cell r="J27">
            <v>302.873</v>
          </cell>
          <cell r="K27">
            <v>302.873</v>
          </cell>
          <cell r="L27">
            <v>0</v>
          </cell>
          <cell r="M27">
            <v>0</v>
          </cell>
          <cell r="N27">
            <v>262.62</v>
          </cell>
          <cell r="O27">
            <v>15.327469347345968</v>
          </cell>
          <cell r="R27">
            <v>2.3819999999999997</v>
          </cell>
          <cell r="S27">
            <v>2.3819999999999997</v>
          </cell>
          <cell r="T27">
            <v>0</v>
          </cell>
          <cell r="U27">
            <v>0</v>
          </cell>
          <cell r="V27">
            <v>2.221</v>
          </cell>
          <cell r="W27">
            <v>7.248986942818519</v>
          </cell>
        </row>
        <row r="28">
          <cell r="A28">
            <v>37803</v>
          </cell>
          <cell r="B28">
            <v>12.504148837209303</v>
          </cell>
          <cell r="C28">
            <v>12.504148837209303</v>
          </cell>
          <cell r="D28">
            <v>0</v>
          </cell>
          <cell r="E28">
            <v>0</v>
          </cell>
          <cell r="F28">
            <v>13.348413953488375</v>
          </cell>
          <cell r="G28">
            <v>-6.324834689880419</v>
          </cell>
          <cell r="J28">
            <v>457.23900000000003</v>
          </cell>
          <cell r="K28">
            <v>457.23900000000003</v>
          </cell>
          <cell r="L28">
            <v>0</v>
          </cell>
          <cell r="M28">
            <v>0</v>
          </cell>
          <cell r="N28">
            <v>421.65999999999997</v>
          </cell>
          <cell r="O28">
            <v>8.437840914480873</v>
          </cell>
          <cell r="R28">
            <v>3.2199999999999998</v>
          </cell>
          <cell r="S28">
            <v>3.22</v>
          </cell>
          <cell r="T28">
            <v>-4.440892098500626E-16</v>
          </cell>
          <cell r="U28">
            <v>-4.440892098500626E-16</v>
          </cell>
          <cell r="V28">
            <v>2.196</v>
          </cell>
          <cell r="W28">
            <v>46.630236794171196</v>
          </cell>
        </row>
        <row r="29">
          <cell r="A29">
            <v>37834</v>
          </cell>
          <cell r="B29">
            <v>9.099404651162793</v>
          </cell>
          <cell r="C29">
            <v>9.099404651162793</v>
          </cell>
          <cell r="D29">
            <v>0</v>
          </cell>
          <cell r="E29">
            <v>0</v>
          </cell>
          <cell r="F29">
            <v>8.246493023255814</v>
          </cell>
          <cell r="G29">
            <v>10.342719329316054</v>
          </cell>
          <cell r="J29">
            <v>280.342</v>
          </cell>
          <cell r="K29">
            <v>280.342</v>
          </cell>
          <cell r="L29">
            <v>0</v>
          </cell>
          <cell r="M29">
            <v>0</v>
          </cell>
          <cell r="N29">
            <v>387.80100000000004</v>
          </cell>
          <cell r="O29">
            <v>-27.70983055742508</v>
          </cell>
          <cell r="R29">
            <v>2.1189999999999998</v>
          </cell>
          <cell r="S29">
            <v>2.1189999999999998</v>
          </cell>
          <cell r="T29">
            <v>0</v>
          </cell>
          <cell r="U29">
            <v>-4.440892098500626E-16</v>
          </cell>
          <cell r="V29">
            <v>2.292</v>
          </cell>
          <cell r="W29">
            <v>-7.547993019197207</v>
          </cell>
        </row>
        <row r="30">
          <cell r="A30">
            <v>37865</v>
          </cell>
          <cell r="B30">
            <v>8.09439534883721</v>
          </cell>
          <cell r="C30">
            <v>8.09439534883721</v>
          </cell>
          <cell r="D30">
            <v>0</v>
          </cell>
          <cell r="E30">
            <v>0</v>
          </cell>
          <cell r="F30">
            <v>8.873497674418605</v>
          </cell>
          <cell r="G30">
            <v>-8.780104014986875</v>
          </cell>
          <cell r="H30" t="str">
            <v/>
          </cell>
          <cell r="J30">
            <v>387.803</v>
          </cell>
          <cell r="K30">
            <v>379.803</v>
          </cell>
          <cell r="L30">
            <v>8</v>
          </cell>
          <cell r="M30">
            <v>8</v>
          </cell>
          <cell r="N30">
            <v>449.259</v>
          </cell>
          <cell r="O30">
            <v>-13.67941432447654</v>
          </cell>
          <cell r="R30">
            <v>6.172</v>
          </cell>
          <cell r="S30">
            <v>6.172</v>
          </cell>
          <cell r="T30">
            <v>0</v>
          </cell>
          <cell r="U30">
            <v>-4.440892098500626E-16</v>
          </cell>
          <cell r="V30">
            <v>2.0580000000000003</v>
          </cell>
          <cell r="W30">
            <v>199.90281827016514</v>
          </cell>
        </row>
        <row r="31">
          <cell r="A31">
            <v>37895</v>
          </cell>
          <cell r="B31">
            <v>12.834167441860464</v>
          </cell>
          <cell r="C31">
            <v>12.780167441860463</v>
          </cell>
          <cell r="D31">
            <v>0.05400000000000027</v>
          </cell>
          <cell r="E31">
            <v>0.05400000000000027</v>
          </cell>
          <cell r="F31">
            <v>11.612962790697674</v>
          </cell>
          <cell r="G31">
            <v>10.515875002553258</v>
          </cell>
          <cell r="J31">
            <v>523.083</v>
          </cell>
          <cell r="K31">
            <v>522.329</v>
          </cell>
          <cell r="L31">
            <v>0.7540000000000191</v>
          </cell>
          <cell r="M31">
            <v>8.754000000000019</v>
          </cell>
          <cell r="N31">
            <v>563.774</v>
          </cell>
          <cell r="O31">
            <v>-7.2176084743177285</v>
          </cell>
          <cell r="R31">
            <v>3.4159999999999995</v>
          </cell>
          <cell r="S31">
            <v>3.3079999999999994</v>
          </cell>
          <cell r="T31">
            <v>0.1080000000000001</v>
          </cell>
          <cell r="U31">
            <v>0.10799999999999965</v>
          </cell>
          <cell r="V31">
            <v>2.746</v>
          </cell>
          <cell r="W31">
            <v>24.399126001456636</v>
          </cell>
        </row>
        <row r="32">
          <cell r="A32">
            <v>37926</v>
          </cell>
          <cell r="B32">
            <v>10.71066046511628</v>
          </cell>
          <cell r="C32">
            <v>10.67666046511628</v>
          </cell>
          <cell r="D32">
            <v>0.034000000000000696</v>
          </cell>
          <cell r="E32">
            <v>0.08800000000000097</v>
          </cell>
          <cell r="F32">
            <v>12.008823255813954</v>
          </cell>
          <cell r="G32">
            <v>-10.810074917783325</v>
          </cell>
          <cell r="J32">
            <v>455.503</v>
          </cell>
          <cell r="K32">
            <v>454.91</v>
          </cell>
          <cell r="L32">
            <v>0.5929999999999609</v>
          </cell>
          <cell r="M32">
            <v>9.34699999999998</v>
          </cell>
          <cell r="N32">
            <v>424.386</v>
          </cell>
          <cell r="O32">
            <v>7.332239989066551</v>
          </cell>
          <cell r="R32">
            <v>2.424</v>
          </cell>
          <cell r="S32">
            <v>2.316</v>
          </cell>
          <cell r="T32">
            <v>0.1080000000000001</v>
          </cell>
          <cell r="U32">
            <v>0.21599999999999975</v>
          </cell>
          <cell r="V32">
            <v>2.2880000000000003</v>
          </cell>
          <cell r="W32">
            <v>5.944055944055933</v>
          </cell>
        </row>
        <row r="33">
          <cell r="A33">
            <v>37956</v>
          </cell>
          <cell r="B33">
            <v>8.847404651162792</v>
          </cell>
          <cell r="C33">
            <v>8.30823984019748</v>
          </cell>
          <cell r="D33">
            <v>0.5391648109653122</v>
          </cell>
          <cell r="E33">
            <v>0.6271648109653132</v>
          </cell>
          <cell r="F33">
            <v>9.201288372093021</v>
          </cell>
          <cell r="G33">
            <v>-3.846023585170286</v>
          </cell>
          <cell r="J33">
            <v>438.421</v>
          </cell>
          <cell r="K33">
            <v>423.31572666560817</v>
          </cell>
          <cell r="L33">
            <v>15.105273334391825</v>
          </cell>
          <cell r="M33">
            <v>24.452273334391805</v>
          </cell>
          <cell r="N33">
            <v>361.273</v>
          </cell>
          <cell r="O33">
            <v>21.354488157155373</v>
          </cell>
          <cell r="R33">
            <v>1.9840000000000002</v>
          </cell>
          <cell r="S33">
            <v>1.966</v>
          </cell>
          <cell r="T33">
            <v>0.018000000000000238</v>
          </cell>
          <cell r="U33">
            <v>0.23399999999999999</v>
          </cell>
          <cell r="V33">
            <v>1.9020000000000001</v>
          </cell>
          <cell r="W33">
            <v>4.3112513144058795</v>
          </cell>
        </row>
        <row r="34">
          <cell r="A34">
            <v>37987</v>
          </cell>
          <cell r="B34">
            <v>12.238376744186047</v>
          </cell>
          <cell r="C34">
            <v>15</v>
          </cell>
          <cell r="D34">
            <v>-2.7616232558139533</v>
          </cell>
          <cell r="E34">
            <v>-2.13445844484864</v>
          </cell>
          <cell r="F34">
            <v>12.499967441860464</v>
          </cell>
          <cell r="G34">
            <v>-2.0927310322296506</v>
          </cell>
          <cell r="J34">
            <v>487.25700000000006</v>
          </cell>
          <cell r="K34">
            <v>395</v>
          </cell>
          <cell r="L34">
            <v>92.25700000000006</v>
          </cell>
          <cell r="M34">
            <v>116.70927333439187</v>
          </cell>
          <cell r="N34">
            <v>358.96799999999996</v>
          </cell>
          <cell r="O34">
            <v>35.738283078157394</v>
          </cell>
          <cell r="R34">
            <v>2.761</v>
          </cell>
          <cell r="S34">
            <v>3</v>
          </cell>
          <cell r="T34">
            <v>-0.23899999999999988</v>
          </cell>
          <cell r="U34">
            <v>-0.004999999999999893</v>
          </cell>
          <cell r="V34">
            <v>2.789</v>
          </cell>
          <cell r="W34">
            <v>-1.0039440659734709</v>
          </cell>
        </row>
        <row r="35">
          <cell r="A35">
            <v>38018</v>
          </cell>
          <cell r="B35">
            <v>10.292046511627909</v>
          </cell>
          <cell r="C35">
            <v>12</v>
          </cell>
          <cell r="D35">
            <v>-1.707953488372091</v>
          </cell>
          <cell r="E35">
            <v>-3.842411933220731</v>
          </cell>
          <cell r="F35">
            <v>10.373139534883721</v>
          </cell>
          <cell r="G35">
            <v>-0.7817596879238522</v>
          </cell>
          <cell r="H35" t="str">
            <v/>
          </cell>
          <cell r="J35">
            <v>343.07000000000005</v>
          </cell>
          <cell r="K35">
            <v>327</v>
          </cell>
          <cell r="L35">
            <v>16.07000000000005</v>
          </cell>
          <cell r="M35">
            <v>132.77927333439192</v>
          </cell>
          <cell r="N35">
            <v>274.156</v>
          </cell>
          <cell r="O35">
            <v>25.136783437167168</v>
          </cell>
          <cell r="R35">
            <v>2.86</v>
          </cell>
          <cell r="S35">
            <v>2</v>
          </cell>
          <cell r="T35">
            <v>0.8599999999999999</v>
          </cell>
          <cell r="U35">
            <v>0.855</v>
          </cell>
          <cell r="V35">
            <v>2.19</v>
          </cell>
          <cell r="W35">
            <v>30.593607305936075</v>
          </cell>
        </row>
        <row r="36">
          <cell r="A36">
            <v>38047</v>
          </cell>
          <cell r="B36">
            <v>9.142995348837209</v>
          </cell>
          <cell r="C36">
            <v>12</v>
          </cell>
          <cell r="D36">
            <v>-2.857004651162791</v>
          </cell>
          <cell r="E36">
            <v>-6.699416584383522</v>
          </cell>
          <cell r="F36">
            <v>10.678237209302326</v>
          </cell>
          <cell r="G36">
            <v>-14.377296836295173</v>
          </cell>
          <cell r="J36">
            <v>265.304</v>
          </cell>
          <cell r="K36">
            <v>321</v>
          </cell>
          <cell r="L36">
            <v>-55.696000000000026</v>
          </cell>
          <cell r="M36">
            <v>77.08327333439189</v>
          </cell>
          <cell r="N36">
            <v>270.06899999999996</v>
          </cell>
          <cell r="O36">
            <v>-1.7643639218125742</v>
          </cell>
          <cell r="R36">
            <v>1.921</v>
          </cell>
          <cell r="S36">
            <v>2</v>
          </cell>
          <cell r="T36">
            <v>-0.07899999999999996</v>
          </cell>
          <cell r="U36">
            <v>0.776</v>
          </cell>
          <cell r="V36">
            <v>1.697</v>
          </cell>
          <cell r="W36">
            <v>13.199764289923394</v>
          </cell>
        </row>
        <row r="37">
          <cell r="A37" t="str">
            <v>Year</v>
          </cell>
          <cell r="B37">
            <v>125.8114930232558</v>
          </cell>
          <cell r="C37">
            <v>132.51090960763935</v>
          </cell>
          <cell r="F37">
            <v>130.48118604651162</v>
          </cell>
          <cell r="J37">
            <v>4506.845</v>
          </cell>
          <cell r="K37">
            <v>4429.761726665608</v>
          </cell>
          <cell r="N37">
            <v>4334.503</v>
          </cell>
          <cell r="R37">
            <v>34.065</v>
          </cell>
          <cell r="S37">
            <v>33.289</v>
          </cell>
          <cell r="V37">
            <v>26.749000000000002</v>
          </cell>
        </row>
        <row r="39">
          <cell r="A39" t="str">
            <v>Scotland</v>
          </cell>
        </row>
        <row r="40">
          <cell r="A40">
            <v>37712</v>
          </cell>
          <cell r="B40">
            <v>50.862</v>
          </cell>
          <cell r="C40">
            <v>50.862</v>
          </cell>
          <cell r="D40">
            <v>0</v>
          </cell>
          <cell r="E40">
            <v>0</v>
          </cell>
          <cell r="F40">
            <v>48.367</v>
          </cell>
          <cell r="G40">
            <v>5.158475820290704</v>
          </cell>
          <cell r="J40">
            <v>132.351</v>
          </cell>
          <cell r="K40">
            <v>132.351</v>
          </cell>
          <cell r="L40">
            <v>0</v>
          </cell>
          <cell r="M40">
            <v>0</v>
          </cell>
          <cell r="N40">
            <v>107.158</v>
          </cell>
          <cell r="O40">
            <v>23.510143899662168</v>
          </cell>
          <cell r="R40">
            <v>71.549</v>
          </cell>
          <cell r="S40">
            <v>71.549</v>
          </cell>
          <cell r="T40">
            <v>0</v>
          </cell>
          <cell r="U40">
            <v>0</v>
          </cell>
          <cell r="V40">
            <v>59.339</v>
          </cell>
          <cell r="W40">
            <v>20.57668649623352</v>
          </cell>
        </row>
        <row r="41">
          <cell r="A41">
            <v>37742</v>
          </cell>
          <cell r="B41">
            <v>40.709586046511625</v>
          </cell>
          <cell r="C41">
            <v>40.709586046511625</v>
          </cell>
          <cell r="D41">
            <v>0</v>
          </cell>
          <cell r="E41">
            <v>0</v>
          </cell>
          <cell r="F41">
            <v>43.194</v>
          </cell>
          <cell r="G41">
            <v>-5.751757080817654</v>
          </cell>
          <cell r="J41">
            <v>70.483</v>
          </cell>
          <cell r="K41">
            <v>70.483</v>
          </cell>
          <cell r="L41">
            <v>0</v>
          </cell>
          <cell r="M41">
            <v>0</v>
          </cell>
          <cell r="N41">
            <v>52.343999999999994</v>
          </cell>
          <cell r="O41">
            <v>34.653446431300665</v>
          </cell>
          <cell r="R41">
            <v>57.322</v>
          </cell>
          <cell r="S41">
            <v>57.322</v>
          </cell>
          <cell r="T41">
            <v>0</v>
          </cell>
          <cell r="U41">
            <v>0</v>
          </cell>
          <cell r="V41">
            <v>54.153</v>
          </cell>
          <cell r="W41">
            <v>5.851938027440767</v>
          </cell>
        </row>
        <row r="42">
          <cell r="A42">
            <v>37773</v>
          </cell>
          <cell r="B42">
            <v>42.024</v>
          </cell>
          <cell r="C42">
            <v>41.964</v>
          </cell>
          <cell r="D42">
            <v>0.060000000000002274</v>
          </cell>
          <cell r="E42">
            <v>0.060000000000002274</v>
          </cell>
          <cell r="F42">
            <v>41.5</v>
          </cell>
          <cell r="G42">
            <v>1.26265060240965</v>
          </cell>
          <cell r="J42">
            <v>88.983</v>
          </cell>
          <cell r="K42">
            <v>88.82</v>
          </cell>
          <cell r="L42">
            <v>0.16300000000001091</v>
          </cell>
          <cell r="M42">
            <v>0.16300000000001091</v>
          </cell>
          <cell r="N42">
            <v>86.699</v>
          </cell>
          <cell r="O42">
            <v>2.6344017808740574</v>
          </cell>
          <cell r="R42">
            <v>55.91799999999999</v>
          </cell>
          <cell r="S42">
            <v>55.945</v>
          </cell>
          <cell r="T42">
            <v>-0.02700000000000813</v>
          </cell>
          <cell r="U42">
            <v>-0.02700000000000813</v>
          </cell>
          <cell r="V42">
            <v>51.841</v>
          </cell>
          <cell r="W42">
            <v>7.864431627476293</v>
          </cell>
        </row>
        <row r="43">
          <cell r="A43">
            <v>37803</v>
          </cell>
          <cell r="B43">
            <v>50.14213023255814</v>
          </cell>
          <cell r="C43">
            <v>50.14213023255814</v>
          </cell>
          <cell r="D43">
            <v>0</v>
          </cell>
          <cell r="E43">
            <v>0.060000000000002274</v>
          </cell>
          <cell r="F43">
            <v>50.154999999999994</v>
          </cell>
          <cell r="G43">
            <v>-0.02565998891806487</v>
          </cell>
          <cell r="J43">
            <v>146.002</v>
          </cell>
          <cell r="K43">
            <v>146.002</v>
          </cell>
          <cell r="L43">
            <v>0</v>
          </cell>
          <cell r="M43">
            <v>0.16300000000001091</v>
          </cell>
          <cell r="N43">
            <v>122.685</v>
          </cell>
          <cell r="O43">
            <v>19.00558340465419</v>
          </cell>
          <cell r="R43">
            <v>68.07</v>
          </cell>
          <cell r="S43">
            <v>68.07</v>
          </cell>
          <cell r="T43">
            <v>0</v>
          </cell>
          <cell r="U43">
            <v>-0.02700000000000813</v>
          </cell>
          <cell r="V43">
            <v>62.109</v>
          </cell>
          <cell r="W43">
            <v>9.59764285369269</v>
          </cell>
        </row>
        <row r="44">
          <cell r="A44">
            <v>37834</v>
          </cell>
          <cell r="B44">
            <v>36.05113023255814</v>
          </cell>
          <cell r="C44">
            <v>36.05113023255814</v>
          </cell>
          <cell r="D44">
            <v>0</v>
          </cell>
          <cell r="E44">
            <v>0.060000000000002274</v>
          </cell>
          <cell r="F44">
            <v>39.31426046511628</v>
          </cell>
          <cell r="G44">
            <v>-8.300118567545056</v>
          </cell>
          <cell r="J44">
            <v>102.298</v>
          </cell>
          <cell r="K44">
            <v>101.46099999999998</v>
          </cell>
          <cell r="L44">
            <v>0.8370000000000175</v>
          </cell>
          <cell r="M44">
            <v>1.0000000000000284</v>
          </cell>
          <cell r="N44">
            <v>140.118</v>
          </cell>
          <cell r="O44">
            <v>-26.99153570561954</v>
          </cell>
          <cell r="R44">
            <v>54.632</v>
          </cell>
          <cell r="S44">
            <v>55.365</v>
          </cell>
          <cell r="T44">
            <v>-0.7330000000000041</v>
          </cell>
          <cell r="U44">
            <v>-0.7600000000000122</v>
          </cell>
          <cell r="V44">
            <v>54.604000000000006</v>
          </cell>
          <cell r="W44">
            <v>0.05127829463040712</v>
          </cell>
        </row>
        <row r="45">
          <cell r="A45">
            <v>37865</v>
          </cell>
          <cell r="B45">
            <v>41.45906511627906</v>
          </cell>
          <cell r="C45">
            <v>41.36606511627907</v>
          </cell>
          <cell r="D45">
            <v>0.09299999999999642</v>
          </cell>
          <cell r="E45">
            <v>0.1529999999999987</v>
          </cell>
          <cell r="F45">
            <v>45.10513023255814</v>
          </cell>
          <cell r="G45">
            <v>-8.08348207283801</v>
          </cell>
          <cell r="H45" t="str">
            <v/>
          </cell>
          <cell r="J45">
            <v>119.13199999999999</v>
          </cell>
          <cell r="K45">
            <v>119.13199999999999</v>
          </cell>
          <cell r="L45">
            <v>0</v>
          </cell>
          <cell r="M45">
            <v>1.0000000000000284</v>
          </cell>
          <cell r="N45">
            <v>147.231</v>
          </cell>
          <cell r="O45">
            <v>-19.08497531090599</v>
          </cell>
          <cell r="R45">
            <v>62.54899999999999</v>
          </cell>
          <cell r="S45">
            <v>62.54899999999999</v>
          </cell>
          <cell r="T45">
            <v>0</v>
          </cell>
          <cell r="U45">
            <v>-0.7600000000000122</v>
          </cell>
          <cell r="V45">
            <v>53.92700000000001</v>
          </cell>
          <cell r="W45">
            <v>15.988280453205235</v>
          </cell>
        </row>
        <row r="46">
          <cell r="A46">
            <v>37895</v>
          </cell>
          <cell r="B46">
            <v>52.12113023255814</v>
          </cell>
          <cell r="C46">
            <v>51.98213023255814</v>
          </cell>
          <cell r="D46">
            <v>0.1389999999999958</v>
          </cell>
          <cell r="E46">
            <v>0.2919999999999945</v>
          </cell>
          <cell r="F46">
            <v>54.82719534883721</v>
          </cell>
          <cell r="G46">
            <v>-4.935625649026491</v>
          </cell>
          <cell r="J46">
            <v>164.92000000000002</v>
          </cell>
          <cell r="K46">
            <v>164.58700000000002</v>
          </cell>
          <cell r="L46">
            <v>0.3329999999999984</v>
          </cell>
          <cell r="M46">
            <v>1.3330000000000268</v>
          </cell>
          <cell r="N46">
            <v>190.258</v>
          </cell>
          <cell r="O46">
            <v>-13.317705431571852</v>
          </cell>
          <cell r="R46">
            <v>76.255</v>
          </cell>
          <cell r="S46">
            <v>76.238</v>
          </cell>
          <cell r="T46">
            <v>0.016999999999995907</v>
          </cell>
          <cell r="U46">
            <v>-0.7430000000000163</v>
          </cell>
          <cell r="V46">
            <v>70.412</v>
          </cell>
          <cell r="W46">
            <v>8.2983014258933</v>
          </cell>
        </row>
        <row r="47">
          <cell r="A47">
            <v>37926</v>
          </cell>
          <cell r="B47">
            <v>44.514195348837205</v>
          </cell>
          <cell r="C47">
            <v>44.581195348837205</v>
          </cell>
          <cell r="D47">
            <v>-0.06700000000000017</v>
          </cell>
          <cell r="E47">
            <v>0.22499999999999432</v>
          </cell>
          <cell r="F47">
            <v>48.3106511627907</v>
          </cell>
          <cell r="G47">
            <v>-7.85842401742984</v>
          </cell>
          <cell r="J47">
            <v>160.71599999999998</v>
          </cell>
          <cell r="K47">
            <v>160.628</v>
          </cell>
          <cell r="L47">
            <v>0.08799999999999386</v>
          </cell>
          <cell r="M47">
            <v>1.4210000000000207</v>
          </cell>
          <cell r="N47">
            <v>153.321</v>
          </cell>
          <cell r="O47">
            <v>4.823214041129376</v>
          </cell>
          <cell r="R47">
            <v>68.311</v>
          </cell>
          <cell r="S47">
            <v>68.313</v>
          </cell>
          <cell r="T47">
            <v>-0.001999999999995339</v>
          </cell>
          <cell r="U47">
            <v>-0.7450000000000117</v>
          </cell>
          <cell r="V47">
            <v>59.714</v>
          </cell>
          <cell r="W47">
            <v>14.396958837123634</v>
          </cell>
        </row>
        <row r="48">
          <cell r="A48">
            <v>37956</v>
          </cell>
          <cell r="B48">
            <v>40.77406511627907</v>
          </cell>
          <cell r="C48">
            <v>41.003929015440136</v>
          </cell>
          <cell r="D48">
            <v>-0.2298638991610673</v>
          </cell>
          <cell r="E48">
            <v>-0.004863899161072993</v>
          </cell>
          <cell r="F48">
            <v>42.01019534883721</v>
          </cell>
          <cell r="G48">
            <v>-2.942452950513001</v>
          </cell>
          <cell r="J48">
            <v>137.121</v>
          </cell>
          <cell r="K48">
            <v>132.6656618603429</v>
          </cell>
          <cell r="L48">
            <v>4.455338139657101</v>
          </cell>
          <cell r="M48">
            <v>5.876338139657122</v>
          </cell>
          <cell r="N48">
            <v>134.48899999999998</v>
          </cell>
          <cell r="O48">
            <v>1.9570373785216901</v>
          </cell>
          <cell r="R48">
            <v>57.572</v>
          </cell>
          <cell r="S48">
            <v>57.73617062339113</v>
          </cell>
          <cell r="T48">
            <v>-0.1641706233911293</v>
          </cell>
          <cell r="U48">
            <v>-0.909170623391141</v>
          </cell>
          <cell r="V48">
            <v>52.442</v>
          </cell>
          <cell r="W48">
            <v>9.782235612676857</v>
          </cell>
        </row>
        <row r="49">
          <cell r="A49">
            <v>37987</v>
          </cell>
          <cell r="B49">
            <v>48.81358604651163</v>
          </cell>
          <cell r="C49">
            <v>51</v>
          </cell>
          <cell r="D49">
            <v>-2.186413953488369</v>
          </cell>
          <cell r="E49">
            <v>-2.191277852649442</v>
          </cell>
          <cell r="F49">
            <v>50.98739069767442</v>
          </cell>
          <cell r="G49">
            <v>-4.263416153323448</v>
          </cell>
          <cell r="J49">
            <v>170.178</v>
          </cell>
          <cell r="K49">
            <v>133</v>
          </cell>
          <cell r="L49">
            <v>37.178</v>
          </cell>
          <cell r="M49">
            <v>43.05433813965712</v>
          </cell>
          <cell r="N49">
            <v>149.893</v>
          </cell>
          <cell r="O49">
            <v>13.532986863962961</v>
          </cell>
          <cell r="R49">
            <v>67.356</v>
          </cell>
          <cell r="S49">
            <v>65</v>
          </cell>
          <cell r="T49">
            <v>2.3559999999999945</v>
          </cell>
          <cell r="U49">
            <v>1.4468293766088536</v>
          </cell>
          <cell r="V49">
            <v>66.279</v>
          </cell>
          <cell r="W49">
            <v>1.6249490788937635</v>
          </cell>
        </row>
        <row r="50">
          <cell r="A50">
            <v>38018</v>
          </cell>
          <cell r="B50">
            <v>41.83913023255815</v>
          </cell>
          <cell r="C50">
            <v>42</v>
          </cell>
          <cell r="D50">
            <v>-0.16086976744185222</v>
          </cell>
          <cell r="E50">
            <v>-2.3521476200912943</v>
          </cell>
          <cell r="F50">
            <v>43.229325581395344</v>
          </cell>
          <cell r="G50">
            <v>-3.215861756204447</v>
          </cell>
          <cell r="H50" t="str">
            <v/>
          </cell>
          <cell r="J50">
            <v>133.594</v>
          </cell>
          <cell r="K50">
            <v>105</v>
          </cell>
          <cell r="L50">
            <v>28.593999999999994</v>
          </cell>
          <cell r="M50">
            <v>71.64833813965711</v>
          </cell>
          <cell r="N50">
            <v>117.82900000000001</v>
          </cell>
          <cell r="O50">
            <v>13.37955851276</v>
          </cell>
          <cell r="R50">
            <v>58.01899999999999</v>
          </cell>
          <cell r="S50">
            <v>54</v>
          </cell>
          <cell r="T50">
            <v>4.018999999999991</v>
          </cell>
          <cell r="U50">
            <v>5.465829376608845</v>
          </cell>
          <cell r="V50">
            <v>57.915</v>
          </cell>
          <cell r="W50">
            <v>0.17957351290682766</v>
          </cell>
        </row>
        <row r="51">
          <cell r="A51">
            <v>38047</v>
          </cell>
          <cell r="B51">
            <v>40.639</v>
          </cell>
          <cell r="C51">
            <v>43</v>
          </cell>
          <cell r="D51">
            <v>-2.360999999999997</v>
          </cell>
          <cell r="E51">
            <v>-4.713147620091291</v>
          </cell>
          <cell r="F51">
            <v>41.66326046511628</v>
          </cell>
          <cell r="G51">
            <v>-2.4584260897532744</v>
          </cell>
          <cell r="J51">
            <v>121.03</v>
          </cell>
          <cell r="K51">
            <v>106</v>
          </cell>
          <cell r="L51">
            <v>15.030000000000001</v>
          </cell>
          <cell r="M51">
            <v>86.67833813965711</v>
          </cell>
          <cell r="N51">
            <v>116.615</v>
          </cell>
          <cell r="O51">
            <v>3.7859623547571175</v>
          </cell>
          <cell r="R51">
            <v>53.206</v>
          </cell>
          <cell r="S51">
            <v>52</v>
          </cell>
          <cell r="T51">
            <v>1.206000000000003</v>
          </cell>
          <cell r="U51">
            <v>6.671829376608848</v>
          </cell>
          <cell r="V51">
            <v>54.495999999999995</v>
          </cell>
          <cell r="W51">
            <v>-2.367146212566041</v>
          </cell>
        </row>
        <row r="52">
          <cell r="A52" t="str">
            <v>Year</v>
          </cell>
          <cell r="B52">
            <v>529.9490186046512</v>
          </cell>
          <cell r="C52">
            <v>534.6621662247424</v>
          </cell>
          <cell r="F52">
            <v>548.6634093023256</v>
          </cell>
          <cell r="J52">
            <v>1546.8079999999998</v>
          </cell>
          <cell r="K52">
            <v>1460.1296618603428</v>
          </cell>
          <cell r="N52">
            <v>1518.64</v>
          </cell>
          <cell r="R52">
            <v>750.759</v>
          </cell>
          <cell r="S52">
            <v>744.0871706233911</v>
          </cell>
          <cell r="V52">
            <v>697.2309999999999</v>
          </cell>
        </row>
        <row r="54">
          <cell r="A54" t="str">
            <v>Notes: 1. "Actual" slaughterings are based on MLC levy returns.</v>
          </cell>
        </row>
        <row r="55">
          <cell r="A55" t="str">
            <v>            2. A negative deviation indicates that the forecast was too high and a positive deviation that the forecast was too low.</v>
          </cell>
        </row>
        <row r="56">
          <cell r="A56" t="str">
            <v>Source: MLC Economic and Policy Analysis Group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stimated production costs"/>
      <sheetName val="Financial assumptions"/>
      <sheetName val="Feed price forecasts"/>
      <sheetName val="Futures chart"/>
      <sheetName val="Net Margin Chart"/>
      <sheetName val="Total Costs"/>
      <sheetName val="Feed costs"/>
      <sheetName val="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d Costs of Production"/>
      <sheetName val="Indoor Estimated COP"/>
      <sheetName val="Outdoor Estimated COP"/>
      <sheetName val="Actual Feed and Inputs"/>
      <sheetName val="Feed forecast"/>
      <sheetName val="Net Margins"/>
      <sheetName val="Net Margins Chart"/>
      <sheetName val="Total Costs with APP chart"/>
      <sheetName val="Costs exc feed costs chart"/>
      <sheetName val="Quarterly net margin"/>
      <sheetName val="Forecast costs chart"/>
      <sheetName val="UK COP Summary"/>
      <sheetName val="Quarterly NM chart"/>
      <sheetName val="Quarterly TC with APP chart"/>
      <sheetName val="In Out Net Margins"/>
      <sheetName val="In Out Net Margin Chart"/>
      <sheetName val="In Out Cost and SPPAPP chart"/>
      <sheetName val="Sheet1"/>
    </sheetNames>
    <sheetDataSet>
      <sheetData sheetId="5">
        <row r="185">
          <cell r="V185">
            <v>88.34999999999998</v>
          </cell>
          <cell r="X185">
            <v>223.54</v>
          </cell>
          <cell r="Y185">
            <v>197.497706</v>
          </cell>
          <cell r="Z185">
            <v>121.26039964706165</v>
          </cell>
          <cell r="AA185">
            <v>10.945222819800891</v>
          </cell>
          <cell r="AB185">
            <v>15.495892149101886</v>
          </cell>
          <cell r="AC185">
            <v>47.11522798631167</v>
          </cell>
          <cell r="AD185">
            <v>194.8167426022761</v>
          </cell>
          <cell r="AE185">
            <v>172.11411017257083</v>
          </cell>
          <cell r="AG185">
            <v>28.284531504884598</v>
          </cell>
          <cell r="AH185">
            <v>24.8268073620527</v>
          </cell>
          <cell r="AI185">
            <v>0.6223978445523484</v>
          </cell>
        </row>
        <row r="188">
          <cell r="V188">
            <v>88.91000000000001</v>
          </cell>
          <cell r="X188">
            <v>211.72333333333336</v>
          </cell>
          <cell r="Y188">
            <v>188.24369566666667</v>
          </cell>
          <cell r="Z188">
            <v>119.74536009010372</v>
          </cell>
          <cell r="AA188">
            <v>11.667889128266902</v>
          </cell>
          <cell r="AB188">
            <v>15.448612389756304</v>
          </cell>
          <cell r="AC188">
            <v>46.80609339355814</v>
          </cell>
          <cell r="AD188">
            <v>193.66795500168504</v>
          </cell>
          <cell r="AE188">
            <v>172.19007876804008</v>
          </cell>
          <cell r="AG188">
            <v>18.055378331648274</v>
          </cell>
          <cell r="AH188">
            <v>16.053616898626576</v>
          </cell>
          <cell r="AI188">
            <v>0.6181669972763898</v>
          </cell>
        </row>
      </sheetData>
      <sheetData sheetId="9">
        <row r="50">
          <cell r="A50" t="str">
            <v>2019 Q1</v>
          </cell>
          <cell r="O50">
            <v>-10.987658397882363</v>
          </cell>
        </row>
        <row r="51">
          <cell r="A51" t="str">
            <v>2019 Q2</v>
          </cell>
          <cell r="O51">
            <v>0.10716383591259578</v>
          </cell>
        </row>
        <row r="52">
          <cell r="A52" t="str">
            <v>2019 Q3</v>
          </cell>
          <cell r="O52">
            <v>7.170970378363397</v>
          </cell>
        </row>
        <row r="53">
          <cell r="A53" t="str">
            <v>2019 Q4</v>
          </cell>
          <cell r="O53">
            <v>12.306066905597435</v>
          </cell>
        </row>
        <row r="54">
          <cell r="A54" t="str">
            <v>2020 Q1</v>
          </cell>
          <cell r="O54">
            <v>13.72716207301484</v>
          </cell>
        </row>
        <row r="55">
          <cell r="A55" t="str">
            <v>2020 Q2</v>
          </cell>
          <cell r="O55">
            <v>9.876144381053678</v>
          </cell>
        </row>
        <row r="56">
          <cell r="A56" t="str">
            <v>2020 Q3</v>
          </cell>
          <cell r="O56">
            <v>6.746180331795796</v>
          </cell>
        </row>
        <row r="57">
          <cell r="A57" t="str">
            <v>2020 Q4</v>
          </cell>
          <cell r="O57">
            <v>-5.509025377064234</v>
          </cell>
        </row>
        <row r="58">
          <cell r="A58" t="str">
            <v>2021 Q1</v>
          </cell>
          <cell r="O58">
            <v>-26.04610519341932</v>
          </cell>
        </row>
        <row r="59">
          <cell r="A59" t="str">
            <v>2021 Q2</v>
          </cell>
          <cell r="O59">
            <v>-24.300503470769325</v>
          </cell>
        </row>
        <row r="60">
          <cell r="A60" t="str">
            <v>2021 Q3</v>
          </cell>
          <cell r="O60">
            <v>-13.199017996051223</v>
          </cell>
        </row>
        <row r="61">
          <cell r="A61" t="str">
            <v>2021 Q4</v>
          </cell>
          <cell r="O61">
            <v>-38.555570961211195</v>
          </cell>
        </row>
        <row r="62">
          <cell r="A62" t="str">
            <v>2022 Q1</v>
          </cell>
          <cell r="O62">
            <v>-57.93237192448299</v>
          </cell>
        </row>
        <row r="63">
          <cell r="A63" t="str">
            <v>2022 Q2</v>
          </cell>
          <cell r="O63">
            <v>-51.6023834600908</v>
          </cell>
        </row>
        <row r="64">
          <cell r="A64" t="str">
            <v>2022 Q3</v>
          </cell>
          <cell r="O64">
            <v>-22.936019124071112</v>
          </cell>
        </row>
        <row r="65">
          <cell r="A65" t="str">
            <v>2022 Q4</v>
          </cell>
          <cell r="O65">
            <v>-17.302751719076728</v>
          </cell>
        </row>
        <row r="66">
          <cell r="A66" t="str">
            <v>2023 Q1</v>
          </cell>
          <cell r="O66">
            <v>-1.356672724225062</v>
          </cell>
        </row>
        <row r="67">
          <cell r="A67" t="str">
            <v>2023 Q2</v>
          </cell>
          <cell r="O67">
            <v>22.02181089544267</v>
          </cell>
        </row>
        <row r="68">
          <cell r="A68" t="str">
            <v>2023 Q3</v>
          </cell>
          <cell r="O68">
            <v>24.8268073620527</v>
          </cell>
        </row>
        <row r="69">
          <cell r="A69" t="str">
            <v>2023 Q4</v>
          </cell>
          <cell r="O69">
            <v>18.97573275257179</v>
          </cell>
        </row>
        <row r="70">
          <cell r="A70" t="str">
            <v>2024 Q1</v>
          </cell>
          <cell r="O70">
            <v>16.053616898626576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K139"/>
  <sheetViews>
    <sheetView zoomScale="75" zoomScaleNormal="75" zoomScalePageLayoutView="0" workbookViewId="0" topLeftCell="A1">
      <selection activeCell="D26" sqref="D26"/>
    </sheetView>
  </sheetViews>
  <sheetFormatPr defaultColWidth="9.140625" defaultRowHeight="12.75"/>
  <cols>
    <col min="1" max="1" width="11.57421875" style="56" customWidth="1"/>
    <col min="2" max="2" width="8.7109375" style="56" customWidth="1"/>
    <col min="3" max="3" width="4.57421875" style="56" customWidth="1"/>
    <col min="4" max="4" width="27.57421875" style="56" customWidth="1"/>
    <col min="5" max="5" width="26.140625" style="56" customWidth="1"/>
    <col min="6" max="6" width="8.7109375" style="57" customWidth="1"/>
    <col min="7" max="7" width="3.421875" style="57" customWidth="1"/>
    <col min="8" max="14" width="10.7109375" style="57" customWidth="1"/>
    <col min="15" max="15" width="4.57421875" style="57" customWidth="1"/>
    <col min="16" max="95" width="10.7109375" style="57" customWidth="1"/>
    <col min="96" max="16384" width="8.7109375" style="57" customWidth="1"/>
  </cols>
  <sheetData>
    <row r="1" spans="1:83" ht="30">
      <c r="A1" s="67" t="s">
        <v>149</v>
      </c>
      <c r="CE1" s="58"/>
    </row>
    <row r="2" ht="15.75">
      <c r="A2" s="59"/>
    </row>
    <row r="3" spans="83:87" ht="15.75">
      <c r="CE3" s="60"/>
      <c r="CI3" s="60"/>
    </row>
    <row r="4" spans="1:5" ht="15.75">
      <c r="A4" s="61" t="s">
        <v>148</v>
      </c>
      <c r="B4" s="62"/>
      <c r="E4" s="63"/>
    </row>
    <row r="5" spans="1:89" ht="15.75">
      <c r="A5" s="62"/>
      <c r="B5" s="62"/>
      <c r="CG5" s="64"/>
      <c r="CK5" s="64"/>
    </row>
    <row r="6" spans="1:89" ht="15.75">
      <c r="A6" s="61" t="s">
        <v>150</v>
      </c>
      <c r="B6" s="62"/>
      <c r="BU6" s="64"/>
      <c r="BV6" s="64"/>
      <c r="CG6" s="64"/>
      <c r="CK6" s="64"/>
    </row>
    <row r="7" spans="1:89" ht="15.75">
      <c r="A7" s="62"/>
      <c r="B7" s="62"/>
      <c r="BU7" s="64"/>
      <c r="BV7" s="64"/>
      <c r="CG7" s="64"/>
      <c r="CK7" s="64"/>
    </row>
    <row r="8" spans="2:89" ht="15.75">
      <c r="B8" s="62"/>
      <c r="BU8" s="64"/>
      <c r="BV8" s="64"/>
      <c r="CD8" s="64"/>
      <c r="CG8" s="64"/>
      <c r="CK8" s="64"/>
    </row>
    <row r="9" spans="1:89" ht="15.75">
      <c r="A9" s="61" t="s">
        <v>151</v>
      </c>
      <c r="B9" s="62"/>
      <c r="BU9" s="64"/>
      <c r="BV9" s="64"/>
      <c r="CG9" s="64"/>
      <c r="CK9" s="64"/>
    </row>
    <row r="10" spans="1:89" ht="15.75">
      <c r="A10" s="62"/>
      <c r="B10" s="62"/>
      <c r="BU10" s="64"/>
      <c r="BV10" s="64"/>
      <c r="CE10" s="60"/>
      <c r="CG10" s="65"/>
      <c r="CH10" s="64"/>
      <c r="CI10" s="60"/>
      <c r="CK10" s="65"/>
    </row>
    <row r="11" spans="2:89" ht="15.75">
      <c r="B11" s="62"/>
      <c r="BU11" s="64"/>
      <c r="BV11" s="64"/>
      <c r="CE11" s="60"/>
      <c r="CG11" s="65"/>
      <c r="CH11" s="64"/>
      <c r="CI11" s="60"/>
      <c r="CK11" s="65"/>
    </row>
    <row r="12" spans="1:89" ht="15.75">
      <c r="A12" s="61" t="s">
        <v>152</v>
      </c>
      <c r="B12" s="62"/>
      <c r="BU12" s="64"/>
      <c r="BV12" s="64"/>
      <c r="CE12" s="60"/>
      <c r="CG12" s="65"/>
      <c r="CH12" s="64"/>
      <c r="CI12" s="60"/>
      <c r="CK12" s="65"/>
    </row>
    <row r="13" spans="1:89" ht="15.75">
      <c r="A13" s="59"/>
      <c r="B13" s="62"/>
      <c r="BU13" s="64"/>
      <c r="BV13" s="64"/>
      <c r="CG13" s="64"/>
      <c r="CH13" s="64"/>
      <c r="CK13" s="64"/>
    </row>
    <row r="14" spans="1:89" ht="15">
      <c r="A14" s="57"/>
      <c r="BU14" s="64"/>
      <c r="CB14" s="64"/>
      <c r="CC14" s="64"/>
      <c r="CD14" s="64"/>
      <c r="CG14" s="64"/>
      <c r="CK14" s="64"/>
    </row>
    <row r="15" spans="1:89" ht="15.75">
      <c r="A15" s="61" t="s">
        <v>154</v>
      </c>
      <c r="BU15" s="64"/>
      <c r="CB15" s="64"/>
      <c r="CC15" s="64"/>
      <c r="CD15" s="64"/>
      <c r="CG15" s="64"/>
      <c r="CK15" s="64"/>
    </row>
    <row r="16" spans="73:89" ht="15">
      <c r="BU16" s="64"/>
      <c r="CB16" s="64"/>
      <c r="CC16" s="64"/>
      <c r="CD16" s="64"/>
      <c r="CG16" s="64"/>
      <c r="CK16" s="64"/>
    </row>
    <row r="17" spans="73:89" ht="15.75">
      <c r="BU17" s="64"/>
      <c r="CB17" s="64"/>
      <c r="CC17" s="64"/>
      <c r="CD17" s="64"/>
      <c r="CE17" s="60"/>
      <c r="CG17" s="65"/>
      <c r="CI17" s="60"/>
      <c r="CK17" s="65"/>
    </row>
    <row r="18" spans="73:89" ht="15">
      <c r="BU18" s="64"/>
      <c r="CD18" s="64"/>
      <c r="CG18" s="64"/>
      <c r="CK18" s="64"/>
    </row>
    <row r="19" spans="73:89" ht="15">
      <c r="BU19" s="64"/>
      <c r="CD19" s="64"/>
      <c r="CG19" s="64"/>
      <c r="CK19" s="64"/>
    </row>
    <row r="20" spans="73:89" ht="15">
      <c r="BU20" s="64"/>
      <c r="CB20" s="64"/>
      <c r="CC20" s="64"/>
      <c r="CD20" s="64"/>
      <c r="CG20" s="64"/>
      <c r="CK20" s="64"/>
    </row>
    <row r="21" spans="73:89" ht="15">
      <c r="BU21" s="64"/>
      <c r="CD21" s="64"/>
      <c r="CG21" s="64"/>
      <c r="CK21" s="64"/>
    </row>
    <row r="22" spans="73:89" ht="15.75">
      <c r="BU22" s="64"/>
      <c r="CD22" s="64"/>
      <c r="CE22" s="60"/>
      <c r="CG22" s="65"/>
      <c r="CI22" s="60"/>
      <c r="CK22" s="65"/>
    </row>
    <row r="23" spans="73:89" ht="15">
      <c r="BU23" s="64"/>
      <c r="CD23" s="64"/>
      <c r="CG23" s="64"/>
      <c r="CK23" s="64"/>
    </row>
    <row r="24" spans="82:89" ht="15">
      <c r="CD24" s="64"/>
      <c r="CG24" s="64"/>
      <c r="CK24" s="64"/>
    </row>
    <row r="25" spans="82:89" ht="15">
      <c r="CD25" s="64"/>
      <c r="CG25" s="64"/>
      <c r="CK25" s="64"/>
    </row>
    <row r="26" spans="80:89" ht="15">
      <c r="CB26" s="64"/>
      <c r="CC26" s="64"/>
      <c r="CD26" s="64"/>
      <c r="CG26" s="64"/>
      <c r="CK26" s="64"/>
    </row>
    <row r="27" spans="80:89" ht="15.75">
      <c r="CB27" s="64"/>
      <c r="CC27" s="64"/>
      <c r="CD27" s="64"/>
      <c r="CE27" s="60"/>
      <c r="CG27" s="65"/>
      <c r="CI27" s="60"/>
      <c r="CK27" s="64"/>
    </row>
    <row r="28" spans="80:89" ht="15">
      <c r="CB28" s="64"/>
      <c r="CC28" s="64"/>
      <c r="CD28" s="64"/>
      <c r="CG28" s="64"/>
      <c r="CK28" s="64"/>
    </row>
    <row r="29" spans="80:89" ht="15">
      <c r="CB29" s="64"/>
      <c r="CC29" s="64"/>
      <c r="CD29" s="64"/>
      <c r="CG29" s="64"/>
      <c r="CK29" s="64"/>
    </row>
    <row r="30" spans="80:89" ht="15">
      <c r="CB30" s="64"/>
      <c r="CC30" s="64"/>
      <c r="CD30" s="64"/>
      <c r="CG30" s="64"/>
      <c r="CK30" s="64"/>
    </row>
    <row r="31" spans="80:89" ht="15">
      <c r="CB31" s="64"/>
      <c r="CD31" s="64"/>
      <c r="CG31" s="64"/>
      <c r="CK31" s="64"/>
    </row>
    <row r="32" spans="80:89" ht="15">
      <c r="CB32" s="64"/>
      <c r="CD32" s="64"/>
      <c r="CG32" s="64"/>
      <c r="CK32" s="64"/>
    </row>
    <row r="33" spans="80:89" ht="15.75">
      <c r="CB33" s="64"/>
      <c r="CD33" s="64"/>
      <c r="CE33" s="60"/>
      <c r="CG33" s="65"/>
      <c r="CI33" s="60"/>
      <c r="CK33" s="64"/>
    </row>
    <row r="34" spans="80:89" ht="15">
      <c r="CB34" s="64"/>
      <c r="CD34" s="64"/>
      <c r="CG34" s="64"/>
      <c r="CK34" s="64"/>
    </row>
    <row r="35" spans="80:89" ht="15">
      <c r="CB35" s="64"/>
      <c r="CD35" s="64"/>
      <c r="CG35" s="64"/>
      <c r="CK35" s="64"/>
    </row>
    <row r="36" spans="80:89" ht="15">
      <c r="CB36" s="64"/>
      <c r="CD36" s="64"/>
      <c r="CG36" s="64"/>
      <c r="CK36" s="64"/>
    </row>
    <row r="37" spans="80:89" ht="15">
      <c r="CB37" s="64"/>
      <c r="CD37" s="64"/>
      <c r="CG37" s="64"/>
      <c r="CK37" s="64"/>
    </row>
    <row r="38" spans="80:89" ht="15.75">
      <c r="CB38" s="64"/>
      <c r="CD38" s="64"/>
      <c r="CE38" s="60"/>
      <c r="CG38" s="65"/>
      <c r="CI38" s="60"/>
      <c r="CK38" s="64"/>
    </row>
    <row r="39" spans="80:89" ht="15">
      <c r="CB39" s="64"/>
      <c r="CD39" s="64"/>
      <c r="CG39" s="64"/>
      <c r="CK39" s="64"/>
    </row>
    <row r="40" spans="80:89" ht="15">
      <c r="CB40" s="64"/>
      <c r="CD40" s="64"/>
      <c r="CG40" s="64"/>
      <c r="CK40" s="64"/>
    </row>
    <row r="41" spans="80:89" ht="15">
      <c r="CB41" s="64"/>
      <c r="CD41" s="64"/>
      <c r="CG41" s="64"/>
      <c r="CK41" s="64"/>
    </row>
    <row r="42" spans="80:89" ht="15">
      <c r="CB42" s="64"/>
      <c r="CD42" s="64"/>
      <c r="CG42" s="64"/>
      <c r="CK42" s="64"/>
    </row>
    <row r="43" spans="80:89" ht="15.75">
      <c r="CB43" s="64"/>
      <c r="CD43" s="64"/>
      <c r="CE43" s="60"/>
      <c r="CG43" s="65"/>
      <c r="CI43" s="60"/>
      <c r="CK43" s="64"/>
    </row>
    <row r="44" spans="80:88" ht="15">
      <c r="CB44" s="64"/>
      <c r="CD44" s="64"/>
      <c r="CF44" s="64"/>
      <c r="CJ44" s="64"/>
    </row>
    <row r="45" spans="80:88" ht="15">
      <c r="CB45" s="64"/>
      <c r="CD45" s="64"/>
      <c r="CF45" s="64"/>
      <c r="CJ45" s="64"/>
    </row>
    <row r="46" spans="80:88" ht="15">
      <c r="CB46" s="64"/>
      <c r="CD46" s="64"/>
      <c r="CF46" s="64"/>
      <c r="CJ46" s="64"/>
    </row>
    <row r="47" spans="80:88" ht="15">
      <c r="CB47" s="64"/>
      <c r="CD47" s="64"/>
      <c r="CJ47" s="64"/>
    </row>
    <row r="48" spans="80:88" ht="15">
      <c r="CB48" s="64"/>
      <c r="CD48" s="64"/>
      <c r="CJ48" s="64"/>
    </row>
    <row r="49" spans="80:88" ht="15">
      <c r="CB49" s="64"/>
      <c r="CD49" s="64"/>
      <c r="CJ49" s="64"/>
    </row>
    <row r="50" spans="80:88" ht="15">
      <c r="CB50" s="64"/>
      <c r="CD50" s="64"/>
      <c r="CJ50" s="64"/>
    </row>
    <row r="51" spans="80:88" ht="15">
      <c r="CB51" s="64"/>
      <c r="CD51" s="64"/>
      <c r="CJ51" s="64"/>
    </row>
    <row r="52" spans="80:88" ht="15">
      <c r="CB52" s="64"/>
      <c r="CD52" s="64"/>
      <c r="CJ52" s="64"/>
    </row>
    <row r="53" spans="80:88" ht="15">
      <c r="CB53" s="64"/>
      <c r="CD53" s="64"/>
      <c r="CJ53" s="64"/>
    </row>
    <row r="54" spans="80:88" ht="15">
      <c r="CB54" s="64"/>
      <c r="CD54" s="64"/>
      <c r="CJ54" s="64"/>
    </row>
    <row r="55" spans="80:88" ht="15">
      <c r="CB55" s="64"/>
      <c r="CD55" s="64"/>
      <c r="CJ55" s="64"/>
    </row>
    <row r="56" spans="80:88" ht="15">
      <c r="CB56" s="64"/>
      <c r="CD56" s="64"/>
      <c r="CJ56" s="64"/>
    </row>
    <row r="57" spans="80:88" ht="15">
      <c r="CB57" s="64"/>
      <c r="CD57" s="64"/>
      <c r="CJ57" s="64"/>
    </row>
    <row r="58" spans="80:88" ht="15">
      <c r="CB58" s="64"/>
      <c r="CD58" s="64"/>
      <c r="CJ58" s="64"/>
    </row>
    <row r="59" spans="80:88" ht="15">
      <c r="CB59" s="64"/>
      <c r="CD59" s="64"/>
      <c r="CE59" s="60"/>
      <c r="CJ59" s="64"/>
    </row>
    <row r="60" spans="80:84" ht="15">
      <c r="CB60" s="64"/>
      <c r="CD60" s="64"/>
      <c r="CF60" s="64"/>
    </row>
    <row r="61" spans="80:84" ht="15">
      <c r="CB61" s="64"/>
      <c r="CD61" s="64"/>
      <c r="CF61" s="64"/>
    </row>
    <row r="62" spans="80:84" ht="15">
      <c r="CB62" s="64"/>
      <c r="CD62" s="64"/>
      <c r="CF62" s="64"/>
    </row>
    <row r="63" spans="80:84" ht="15">
      <c r="CB63" s="64"/>
      <c r="CD63" s="64"/>
      <c r="CF63" s="64"/>
    </row>
    <row r="64" spans="80:84" ht="15">
      <c r="CB64" s="64"/>
      <c r="CD64" s="64"/>
      <c r="CE64" s="60"/>
      <c r="CF64" s="64"/>
    </row>
    <row r="65" spans="80:84" ht="15">
      <c r="CB65" s="64"/>
      <c r="CD65" s="64"/>
      <c r="CF65" s="64"/>
    </row>
    <row r="66" spans="80:84" ht="15">
      <c r="CB66" s="64"/>
      <c r="CD66" s="64"/>
      <c r="CF66" s="64"/>
    </row>
    <row r="67" spans="80:84" ht="15">
      <c r="CB67" s="64"/>
      <c r="CD67" s="64"/>
      <c r="CF67" s="64"/>
    </row>
    <row r="68" spans="1:84" ht="15">
      <c r="A68" s="66"/>
      <c r="B68" s="66"/>
      <c r="CB68" s="64"/>
      <c r="CD68" s="64"/>
      <c r="CF68" s="64"/>
    </row>
    <row r="69" spans="2:84" ht="15">
      <c r="B69" s="66"/>
      <c r="CB69" s="64"/>
      <c r="CD69" s="64"/>
      <c r="CE69" s="60"/>
      <c r="CF69" s="64"/>
    </row>
    <row r="70" spans="2:84" ht="15">
      <c r="B70" s="66"/>
      <c r="CB70" s="64"/>
      <c r="CD70" s="64"/>
      <c r="CF70" s="64"/>
    </row>
    <row r="71" spans="2:84" ht="15">
      <c r="B71" s="66"/>
      <c r="CB71" s="64"/>
      <c r="CD71" s="64"/>
      <c r="CF71" s="64"/>
    </row>
    <row r="72" spans="2:84" ht="15">
      <c r="B72" s="66"/>
      <c r="CB72" s="64"/>
      <c r="CD72" s="64"/>
      <c r="CF72" s="64"/>
    </row>
    <row r="73" spans="2:84" ht="15">
      <c r="B73" s="66"/>
      <c r="CB73" s="64"/>
      <c r="CD73" s="64"/>
      <c r="CF73" s="64"/>
    </row>
    <row r="74" spans="2:84" ht="15">
      <c r="B74" s="66"/>
      <c r="CB74" s="64"/>
      <c r="CD74" s="64"/>
      <c r="CF74" s="64"/>
    </row>
    <row r="75" spans="2:84" ht="15">
      <c r="B75" s="66"/>
      <c r="CB75" s="64"/>
      <c r="CD75" s="64"/>
      <c r="CE75" s="60"/>
      <c r="CF75" s="64"/>
    </row>
    <row r="76" spans="2:84" ht="15">
      <c r="B76" s="66"/>
      <c r="CB76" s="64"/>
      <c r="CD76" s="64"/>
      <c r="CF76" s="64"/>
    </row>
    <row r="77" spans="2:84" ht="15">
      <c r="B77" s="66"/>
      <c r="CB77" s="64"/>
      <c r="CD77" s="64"/>
      <c r="CF77" s="64"/>
    </row>
    <row r="78" spans="2:84" ht="15">
      <c r="B78" s="66"/>
      <c r="CB78" s="64"/>
      <c r="CD78" s="64"/>
      <c r="CF78" s="64"/>
    </row>
    <row r="79" spans="2:84" ht="15">
      <c r="B79" s="66"/>
      <c r="CB79" s="64"/>
      <c r="CD79" s="64"/>
      <c r="CF79" s="64"/>
    </row>
    <row r="80" spans="2:84" ht="15">
      <c r="B80" s="66"/>
      <c r="CB80" s="64"/>
      <c r="CD80" s="64"/>
      <c r="CE80" s="60"/>
      <c r="CF80" s="64"/>
    </row>
    <row r="81" spans="2:84" ht="15">
      <c r="B81" s="66"/>
      <c r="CB81" s="64"/>
      <c r="CD81" s="64"/>
      <c r="CF81" s="64"/>
    </row>
    <row r="82" spans="2:84" ht="15">
      <c r="B82" s="66"/>
      <c r="CB82" s="64"/>
      <c r="CF82" s="64"/>
    </row>
    <row r="83" spans="2:84" ht="15">
      <c r="B83" s="66"/>
      <c r="CB83" s="64"/>
      <c r="CF83" s="64"/>
    </row>
    <row r="84" spans="2:84" ht="15">
      <c r="B84" s="66"/>
      <c r="CB84" s="64"/>
      <c r="CF84" s="64"/>
    </row>
    <row r="85" spans="2:84" ht="15">
      <c r="B85" s="66"/>
      <c r="CB85" s="64"/>
      <c r="CE85" s="60"/>
      <c r="CF85" s="64"/>
    </row>
    <row r="86" spans="2:84" ht="15">
      <c r="B86" s="66"/>
      <c r="CB86" s="64"/>
      <c r="CF86" s="64"/>
    </row>
    <row r="87" spans="2:84" ht="15">
      <c r="B87" s="66"/>
      <c r="CB87" s="64"/>
      <c r="CF87" s="64"/>
    </row>
    <row r="88" spans="2:84" ht="15">
      <c r="B88" s="66"/>
      <c r="CB88" s="64"/>
      <c r="CF88" s="64"/>
    </row>
    <row r="89" spans="2:84" ht="15">
      <c r="B89" s="66"/>
      <c r="CB89" s="64"/>
      <c r="CF89" s="64"/>
    </row>
    <row r="90" spans="80:84" ht="15">
      <c r="CB90" s="64"/>
      <c r="CF90" s="64"/>
    </row>
    <row r="91" spans="80:84" ht="15">
      <c r="CB91" s="64"/>
      <c r="CE91" s="60"/>
      <c r="CF91" s="64"/>
    </row>
    <row r="92" spans="80:84" ht="15">
      <c r="CB92" s="64"/>
      <c r="CF92" s="64"/>
    </row>
    <row r="93" spans="80:84" ht="15">
      <c r="CB93" s="64"/>
      <c r="CF93" s="64"/>
    </row>
    <row r="94" spans="80:84" ht="15">
      <c r="CB94" s="64"/>
      <c r="CF94" s="64"/>
    </row>
    <row r="95" spans="80:84" ht="15">
      <c r="CB95" s="64"/>
      <c r="CF95" s="64"/>
    </row>
    <row r="96" spans="80:84" ht="15">
      <c r="CB96" s="64"/>
      <c r="CE96" s="60"/>
      <c r="CF96" s="64"/>
    </row>
    <row r="97" spans="80:84" ht="15">
      <c r="CB97" s="64"/>
      <c r="CF97" s="64"/>
    </row>
    <row r="98" spans="1:84" ht="15">
      <c r="A98" s="66"/>
      <c r="CB98" s="64"/>
      <c r="CF98" s="64"/>
    </row>
    <row r="99" spans="1:84" ht="15">
      <c r="A99" s="66"/>
      <c r="CB99" s="64"/>
      <c r="CF99" s="64"/>
    </row>
    <row r="100" spans="1:84" ht="15">
      <c r="A100" s="66"/>
      <c r="CB100" s="64"/>
      <c r="CF100" s="64"/>
    </row>
    <row r="101" spans="1:84" ht="15">
      <c r="A101" s="66"/>
      <c r="CB101" s="64"/>
      <c r="CE101" s="60"/>
      <c r="CF101" s="64"/>
    </row>
    <row r="102" spans="1:84" ht="15">
      <c r="A102" s="66"/>
      <c r="CB102" s="64"/>
      <c r="CF102" s="64"/>
    </row>
    <row r="103" spans="1:84" ht="15">
      <c r="A103" s="66"/>
      <c r="CB103" s="64"/>
      <c r="CF103" s="64"/>
    </row>
    <row r="104" spans="1:84" ht="15">
      <c r="A104" s="66"/>
      <c r="CB104" s="64"/>
      <c r="CF104" s="64"/>
    </row>
    <row r="105" spans="1:84" ht="15">
      <c r="A105" s="66"/>
      <c r="CB105" s="64"/>
      <c r="CF105" s="64"/>
    </row>
    <row r="106" spans="1:84" ht="15">
      <c r="A106" s="66"/>
      <c r="CB106" s="64"/>
      <c r="CF106" s="64"/>
    </row>
    <row r="107" spans="1:84" ht="15">
      <c r="A107" s="66"/>
      <c r="CB107" s="64"/>
      <c r="CE107" s="60"/>
      <c r="CF107" s="64"/>
    </row>
    <row r="108" spans="1:84" ht="15">
      <c r="A108" s="66"/>
      <c r="CB108" s="64"/>
      <c r="CF108" s="64"/>
    </row>
    <row r="109" spans="1:84" ht="15">
      <c r="A109" s="66"/>
      <c r="CB109" s="64"/>
      <c r="CF109" s="64"/>
    </row>
    <row r="110" spans="1:84" ht="15">
      <c r="A110" s="66"/>
      <c r="CB110" s="64"/>
      <c r="CF110" s="64"/>
    </row>
    <row r="111" spans="1:84" ht="15">
      <c r="A111" s="66"/>
      <c r="CB111" s="64"/>
      <c r="CF111" s="64"/>
    </row>
    <row r="112" spans="1:84" ht="15">
      <c r="A112" s="66"/>
      <c r="CB112" s="64"/>
      <c r="CE112" s="60"/>
      <c r="CF112" s="64"/>
    </row>
    <row r="113" spans="1:84" ht="15">
      <c r="A113" s="66"/>
      <c r="CB113" s="64"/>
      <c r="CF113" s="64"/>
    </row>
    <row r="114" spans="1:84" ht="15">
      <c r="A114" s="66"/>
      <c r="CB114" s="64"/>
      <c r="CF114" s="64"/>
    </row>
    <row r="115" spans="1:84" ht="15">
      <c r="A115" s="66"/>
      <c r="CB115" s="64"/>
      <c r="CF115" s="64"/>
    </row>
    <row r="116" spans="1:84" ht="15">
      <c r="A116" s="66"/>
      <c r="CB116" s="64"/>
      <c r="CF116" s="64"/>
    </row>
    <row r="117" spans="1:84" ht="15">
      <c r="A117" s="66"/>
      <c r="CB117" s="64"/>
      <c r="CE117" s="60"/>
      <c r="CF117" s="64"/>
    </row>
    <row r="118" spans="1:84" ht="15">
      <c r="A118" s="66"/>
      <c r="CB118" s="64"/>
      <c r="CF118" s="64"/>
    </row>
    <row r="119" spans="1:84" ht="15">
      <c r="A119" s="66"/>
      <c r="CB119" s="64"/>
      <c r="CF119" s="64"/>
    </row>
    <row r="120" spans="1:84" ht="15">
      <c r="A120" s="66"/>
      <c r="CB120" s="64"/>
      <c r="CF120" s="64"/>
    </row>
    <row r="121" spans="1:84" ht="15">
      <c r="A121" s="66"/>
      <c r="CB121" s="64"/>
      <c r="CF121" s="64"/>
    </row>
    <row r="122" spans="1:84" ht="15">
      <c r="A122" s="66"/>
      <c r="CB122" s="64"/>
      <c r="CF122" s="64"/>
    </row>
    <row r="123" spans="1:84" ht="15">
      <c r="A123" s="66"/>
      <c r="CB123" s="64"/>
      <c r="CF123" s="64"/>
    </row>
    <row r="124" spans="1:84" ht="15">
      <c r="A124" s="66"/>
      <c r="CF124" s="64"/>
    </row>
    <row r="125" spans="1:84" ht="15">
      <c r="A125" s="66"/>
      <c r="CF125" s="64"/>
    </row>
    <row r="126" spans="1:84" ht="15">
      <c r="A126" s="66"/>
      <c r="CF126" s="64"/>
    </row>
    <row r="127" spans="1:84" ht="15">
      <c r="A127" s="66"/>
      <c r="CF127" s="64"/>
    </row>
    <row r="128" spans="1:84" ht="15">
      <c r="A128" s="66"/>
      <c r="CF128" s="64"/>
    </row>
    <row r="129" ht="15">
      <c r="CF129" s="64"/>
    </row>
    <row r="130" ht="15">
      <c r="CF130" s="64"/>
    </row>
    <row r="131" ht="15">
      <c r="CF131" s="64"/>
    </row>
    <row r="132" ht="15">
      <c r="CF132" s="64"/>
    </row>
    <row r="133" ht="15">
      <c r="CF133" s="64"/>
    </row>
    <row r="134" ht="15">
      <c r="CF134" s="64"/>
    </row>
    <row r="135" ht="15">
      <c r="CF135" s="64"/>
    </row>
    <row r="136" ht="15">
      <c r="CF136" s="64"/>
    </row>
    <row r="137" ht="15">
      <c r="CF137" s="64"/>
    </row>
    <row r="138" ht="15">
      <c r="CF138" s="64"/>
    </row>
    <row r="139" ht="15">
      <c r="CF139" s="64"/>
    </row>
  </sheetData>
  <sheetProtection/>
  <printOptions gridLines="1"/>
  <pageMargins left="0.5" right="0.523" top="0.5" bottom="0.55" header="0.5" footer="0.5"/>
  <pageSetup horizontalDpi="300" verticalDpi="300" orientation="portrait" paperSize="9" r:id="rId4"/>
  <headerFooter alignWithMargins="0">
    <oddHeader>&amp;C&amp;RLast updated: 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9"/>
  <sheetViews>
    <sheetView zoomScale="75" zoomScaleNormal="75" zoomScalePageLayoutView="0" workbookViewId="0" topLeftCell="A1">
      <pane xSplit="1" ySplit="3" topLeftCell="AN1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D139" sqref="BD139"/>
    </sheetView>
  </sheetViews>
  <sheetFormatPr defaultColWidth="9.140625" defaultRowHeight="12.75"/>
  <cols>
    <col min="1" max="1" width="60.421875" style="1" customWidth="1"/>
    <col min="2" max="5" width="12.28125" style="1" customWidth="1"/>
    <col min="6" max="6" width="3.28125" style="1" customWidth="1"/>
    <col min="7" max="9" width="12.28125" style="1" customWidth="1"/>
    <col min="10" max="52" width="12.7109375" style="1" customWidth="1"/>
    <col min="53" max="53" width="4.57421875" style="1" customWidth="1"/>
    <col min="54" max="55" width="12.7109375" style="1" hidden="1" customWidth="1"/>
    <col min="56" max="60" width="12.7109375" style="1" customWidth="1"/>
    <col min="61" max="61" width="12.140625" style="1" customWidth="1"/>
    <col min="62" max="16384" width="9.140625" style="1" customWidth="1"/>
  </cols>
  <sheetData>
    <row r="1" ht="18">
      <c r="A1" s="3" t="s">
        <v>142</v>
      </c>
    </row>
    <row r="2" ht="16.5" customHeight="1">
      <c r="A2" s="21"/>
    </row>
    <row r="3" spans="1:61" ht="15">
      <c r="A3" s="25" t="s">
        <v>44</v>
      </c>
      <c r="B3" s="2">
        <v>2007</v>
      </c>
      <c r="C3" s="2">
        <v>2008</v>
      </c>
      <c r="D3" s="2">
        <v>2009</v>
      </c>
      <c r="E3" s="2">
        <v>2010</v>
      </c>
      <c r="F3" s="6"/>
      <c r="G3" s="6">
        <v>39448</v>
      </c>
      <c r="H3" s="6">
        <v>39479</v>
      </c>
      <c r="I3" s="6">
        <v>39508</v>
      </c>
      <c r="J3" s="6">
        <v>39539</v>
      </c>
      <c r="K3" s="6">
        <v>39569</v>
      </c>
      <c r="L3" s="6">
        <v>39600</v>
      </c>
      <c r="M3" s="6">
        <v>39630</v>
      </c>
      <c r="N3" s="6">
        <v>39661</v>
      </c>
      <c r="O3" s="6">
        <v>39692</v>
      </c>
      <c r="P3" s="6">
        <v>39722</v>
      </c>
      <c r="Q3" s="6">
        <v>39753</v>
      </c>
      <c r="R3" s="6">
        <v>39783</v>
      </c>
      <c r="S3" s="6">
        <v>39814</v>
      </c>
      <c r="T3" s="6">
        <v>39845</v>
      </c>
      <c r="U3" s="6">
        <v>39873</v>
      </c>
      <c r="V3" s="6">
        <v>39904</v>
      </c>
      <c r="W3" s="6">
        <v>39934</v>
      </c>
      <c r="X3" s="6">
        <v>39965</v>
      </c>
      <c r="Y3" s="6">
        <v>39995</v>
      </c>
      <c r="Z3" s="6">
        <v>40026</v>
      </c>
      <c r="AA3" s="6">
        <v>40057</v>
      </c>
      <c r="AB3" s="6">
        <v>40087</v>
      </c>
      <c r="AC3" s="6">
        <v>40118</v>
      </c>
      <c r="AD3" s="6">
        <v>40148</v>
      </c>
      <c r="AE3" s="6">
        <v>40179</v>
      </c>
      <c r="AF3" s="6">
        <v>40210</v>
      </c>
      <c r="AG3" s="6">
        <v>40238</v>
      </c>
      <c r="AH3" s="6">
        <v>40269</v>
      </c>
      <c r="AI3" s="6">
        <v>40299</v>
      </c>
      <c r="AJ3" s="6">
        <v>40330</v>
      </c>
      <c r="AK3" s="6">
        <v>40360</v>
      </c>
      <c r="AL3" s="6">
        <v>40391</v>
      </c>
      <c r="AM3" s="6">
        <v>40422</v>
      </c>
      <c r="AN3" s="6">
        <v>40452</v>
      </c>
      <c r="AO3" s="6">
        <v>40483</v>
      </c>
      <c r="AP3" s="6">
        <v>40513</v>
      </c>
      <c r="AQ3" s="6">
        <v>40544</v>
      </c>
      <c r="AR3" s="6">
        <v>40575</v>
      </c>
      <c r="AS3" s="6">
        <v>40603</v>
      </c>
      <c r="AT3" s="6">
        <v>40634</v>
      </c>
      <c r="AU3" s="6">
        <v>40664</v>
      </c>
      <c r="AV3" s="6">
        <v>40695</v>
      </c>
      <c r="AW3" s="6">
        <v>40725</v>
      </c>
      <c r="AX3" s="6">
        <v>40756</v>
      </c>
      <c r="AY3" s="6">
        <v>40787</v>
      </c>
      <c r="AZ3" s="6">
        <v>40817</v>
      </c>
      <c r="BA3" s="6"/>
      <c r="BB3" s="6" t="e">
        <v>#REF!</v>
      </c>
      <c r="BC3" s="6" t="e">
        <v>#REF!</v>
      </c>
      <c r="BD3" s="6">
        <f>'Financial assumptions'!BM3</f>
        <v>40848</v>
      </c>
      <c r="BE3" s="6">
        <f>'Financial assumptions'!BN3</f>
        <v>40909</v>
      </c>
      <c r="BF3" s="6">
        <f>'Financial assumptions'!BO3</f>
        <v>40969</v>
      </c>
      <c r="BG3" s="6">
        <f>'Financial assumptions'!BP3</f>
        <v>41030</v>
      </c>
      <c r="BH3" s="6">
        <f>'Financial assumptions'!BQ3</f>
        <v>41091</v>
      </c>
      <c r="BI3" s="6">
        <f>'Financial assumptions'!BR3</f>
        <v>41214</v>
      </c>
    </row>
    <row r="4" spans="1:60" ht="15">
      <c r="A4" s="9" t="s">
        <v>6</v>
      </c>
      <c r="B4" s="28">
        <v>21.61247922</v>
      </c>
      <c r="C4" s="28">
        <v>22.09137525</v>
      </c>
      <c r="D4" s="28">
        <v>22.25</v>
      </c>
      <c r="E4" s="45">
        <v>21.997079999999997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</row>
    <row r="5" spans="1:60" ht="15">
      <c r="A5" s="9" t="s">
        <v>7</v>
      </c>
      <c r="B5" s="29">
        <v>20.106925172937437</v>
      </c>
      <c r="C5" s="29">
        <v>20.849663229947996</v>
      </c>
      <c r="D5" s="29">
        <v>21</v>
      </c>
      <c r="E5" s="45">
        <v>20.761064074799997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</row>
    <row r="6" spans="1:60" ht="15">
      <c r="A6" s="9" t="s">
        <v>8</v>
      </c>
      <c r="B6" s="8">
        <v>2.22</v>
      </c>
      <c r="C6" s="8">
        <v>2.25</v>
      </c>
      <c r="D6" s="8">
        <v>2.23</v>
      </c>
      <c r="E6" s="8">
        <v>2.25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5">
      <c r="A7" s="9" t="s">
        <v>9</v>
      </c>
      <c r="B7" s="9">
        <v>10.93</v>
      </c>
      <c r="C7" s="9">
        <v>11.23</v>
      </c>
      <c r="D7" s="9">
        <v>11.4</v>
      </c>
      <c r="E7" s="9">
        <v>11.2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ht="15">
      <c r="A8" s="9" t="s">
        <v>45</v>
      </c>
      <c r="B8" s="10">
        <v>0.04</v>
      </c>
      <c r="C8" s="10">
        <v>0.043</v>
      </c>
      <c r="D8" s="10">
        <v>0.049</v>
      </c>
      <c r="E8" s="10">
        <v>0.0357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5">
      <c r="A9" s="9" t="s">
        <v>10</v>
      </c>
      <c r="B9" s="10">
        <v>0.1093</v>
      </c>
      <c r="C9" s="10">
        <v>0.1257</v>
      </c>
      <c r="D9" s="10">
        <v>0.1246</v>
      </c>
      <c r="E9" s="10">
        <v>0.1271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5">
      <c r="A10" s="9" t="s">
        <v>11</v>
      </c>
      <c r="B10" s="10">
        <v>0.0247</v>
      </c>
      <c r="C10" s="10">
        <v>0.024</v>
      </c>
      <c r="D10" s="10">
        <v>0.025</v>
      </c>
      <c r="E10" s="10">
        <v>0.027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5">
      <c r="A11" s="9" t="s">
        <v>12</v>
      </c>
      <c r="B11" s="10">
        <v>0.0461</v>
      </c>
      <c r="C11" s="10">
        <v>0.033</v>
      </c>
      <c r="D11" s="10">
        <v>0.032</v>
      </c>
      <c r="E11" s="10">
        <v>0.03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5">
      <c r="A12" s="9" t="s">
        <v>46</v>
      </c>
      <c r="B12" s="10">
        <v>0.4269</v>
      </c>
      <c r="C12" s="10">
        <v>0.4594</v>
      </c>
      <c r="D12" s="10">
        <v>0.4814</v>
      </c>
      <c r="E12" s="10">
        <v>0.4925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5">
      <c r="A13" s="9" t="s">
        <v>13</v>
      </c>
      <c r="B13" s="12">
        <v>7.8</v>
      </c>
      <c r="C13" s="12">
        <v>7.7</v>
      </c>
      <c r="D13" s="12">
        <v>7.3</v>
      </c>
      <c r="E13" s="12">
        <v>7.4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ht="15">
      <c r="A14" s="9" t="s">
        <v>47</v>
      </c>
      <c r="B14" s="12">
        <v>28</v>
      </c>
      <c r="C14" s="12">
        <v>27</v>
      </c>
      <c r="D14" s="12">
        <v>28</v>
      </c>
      <c r="E14" s="12">
        <v>26.74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ht="15">
      <c r="A15" s="9" t="s">
        <v>14</v>
      </c>
      <c r="B15" s="12">
        <v>36.9</v>
      </c>
      <c r="C15" s="12">
        <v>38.5</v>
      </c>
      <c r="D15" s="12">
        <v>36.6</v>
      </c>
      <c r="E15" s="12">
        <v>38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ht="1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15">
      <c r="A17" s="9" t="s">
        <v>15</v>
      </c>
      <c r="B17" s="30">
        <v>466</v>
      </c>
      <c r="C17" s="30">
        <v>478</v>
      </c>
      <c r="D17" s="30">
        <v>492</v>
      </c>
      <c r="E17" s="30">
        <v>486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5">
      <c r="A18" s="9" t="s">
        <v>16</v>
      </c>
      <c r="B18" s="30">
        <v>1.76</v>
      </c>
      <c r="C18" s="30">
        <v>1.73</v>
      </c>
      <c r="D18" s="30">
        <v>1.8</v>
      </c>
      <c r="E18" s="30">
        <v>1.75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5">
      <c r="A19" s="9" t="s">
        <v>17</v>
      </c>
      <c r="B19" s="31">
        <v>62.44635193133046</v>
      </c>
      <c r="C19" s="31">
        <v>64.43514644351465</v>
      </c>
      <c r="D19" s="31">
        <v>60</v>
      </c>
      <c r="E19" s="31">
        <v>62.96296296296297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5">
      <c r="A20" s="9" t="s">
        <v>18</v>
      </c>
      <c r="B20" s="32">
        <v>5</v>
      </c>
      <c r="C20" s="32">
        <v>5</v>
      </c>
      <c r="D20" s="32">
        <v>5</v>
      </c>
      <c r="E20" s="32">
        <v>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ht="15">
      <c r="A21" s="9" t="s">
        <v>19</v>
      </c>
      <c r="B21" s="28">
        <v>5.411708558701878</v>
      </c>
      <c r="C21" s="28">
        <v>5.256703826453751</v>
      </c>
      <c r="D21" s="28">
        <v>5.65</v>
      </c>
      <c r="E21" s="28">
        <v>5.370572207084469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15">
      <c r="A22" s="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5">
      <c r="A23" s="9" t="s">
        <v>48</v>
      </c>
      <c r="B23" s="33">
        <v>683</v>
      </c>
      <c r="C23" s="33">
        <v>757</v>
      </c>
      <c r="D23" s="33">
        <v>819</v>
      </c>
      <c r="E23" s="33">
        <v>766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5">
      <c r="A24" s="9" t="s">
        <v>20</v>
      </c>
      <c r="B24" s="9">
        <v>2.75</v>
      </c>
      <c r="C24" s="9">
        <v>2.87</v>
      </c>
      <c r="D24" s="9">
        <v>2.77</v>
      </c>
      <c r="E24" s="9">
        <v>2.95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5">
      <c r="A25" s="9" t="s">
        <v>49</v>
      </c>
      <c r="B25" s="31">
        <v>90.62957540263542</v>
      </c>
      <c r="C25" s="31">
        <v>83.35535006605019</v>
      </c>
      <c r="D25" s="31">
        <v>81</v>
      </c>
      <c r="E25" s="31">
        <v>86.0313315926893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9" t="s">
        <v>50</v>
      </c>
      <c r="B26" s="32">
        <v>7</v>
      </c>
      <c r="C26" s="32">
        <v>7</v>
      </c>
      <c r="D26" s="32">
        <v>7</v>
      </c>
      <c r="E26" s="32"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15">
      <c r="A27" s="9" t="s">
        <v>51</v>
      </c>
      <c r="B27" s="28">
        <v>3.738621196442765</v>
      </c>
      <c r="C27" s="28">
        <v>4.039605842190675</v>
      </c>
      <c r="D27" s="28">
        <v>4.13</v>
      </c>
      <c r="E27" s="28">
        <v>3.9234093906991103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5">
      <c r="A29" s="9" t="s">
        <v>21</v>
      </c>
      <c r="B29" s="12">
        <v>98.8</v>
      </c>
      <c r="C29" s="12">
        <v>101.6</v>
      </c>
      <c r="D29" s="12">
        <v>103.3</v>
      </c>
      <c r="E29" s="12">
        <v>103.9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15">
      <c r="A30" s="9" t="s">
        <v>52</v>
      </c>
      <c r="B30" s="34" t="s">
        <v>131</v>
      </c>
      <c r="C30" s="34" t="s">
        <v>131</v>
      </c>
      <c r="D30" s="34" t="s">
        <v>131</v>
      </c>
      <c r="E30" s="34" t="s">
        <v>157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5">
      <c r="A31" s="9" t="s">
        <v>53</v>
      </c>
      <c r="B31" s="35">
        <v>77.9591836734694</v>
      </c>
      <c r="C31" s="35">
        <v>78.67346938775509</v>
      </c>
      <c r="D31" s="35">
        <v>79.8</v>
      </c>
      <c r="E31" s="35">
        <v>79.9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5">
      <c r="A32" s="9" t="s">
        <v>54</v>
      </c>
      <c r="B32" s="36">
        <v>-0.02</v>
      </c>
      <c r="C32" s="36">
        <v>-0.02</v>
      </c>
      <c r="D32" s="36">
        <v>-0.02</v>
      </c>
      <c r="E32" s="36">
        <v>-0.02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1:60" ht="15">
      <c r="A33" s="9" t="s">
        <v>22</v>
      </c>
      <c r="B33" s="13">
        <v>76.4</v>
      </c>
      <c r="C33" s="13">
        <v>77.1</v>
      </c>
      <c r="D33" s="13">
        <v>78.21</v>
      </c>
      <c r="E33" s="13">
        <v>78.3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ht="15">
      <c r="A34" s="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ht="15">
      <c r="A35" s="9" t="s">
        <v>55</v>
      </c>
      <c r="B35" s="37">
        <v>0.7732793522267207</v>
      </c>
      <c r="C35" s="37">
        <v>0.7588582677165354</v>
      </c>
      <c r="D35" s="37">
        <v>0.757</v>
      </c>
      <c r="E35" s="37">
        <v>0.7536092396535129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pans="1:60" ht="15">
      <c r="A36" s="9" t="s">
        <v>56</v>
      </c>
      <c r="B36" s="37">
        <v>0.7890605634966539</v>
      </c>
      <c r="C36" s="37">
        <v>0.7743451711393218</v>
      </c>
      <c r="D36" s="37">
        <v>0.773</v>
      </c>
      <c r="E36" s="37">
        <v>0.7690086621751684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ht="15">
      <c r="A37" s="9" t="s">
        <v>57</v>
      </c>
      <c r="B37" s="31">
        <v>1536.1690832124202</v>
      </c>
      <c r="C37" s="31">
        <v>1607.5090350289904</v>
      </c>
      <c r="D37" s="31">
        <v>1643</v>
      </c>
      <c r="E37" s="31">
        <v>1625.5913170568397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9" t="s">
        <v>58</v>
      </c>
      <c r="B38" s="38">
        <v>0.612</v>
      </c>
      <c r="C38" s="38">
        <v>0.616</v>
      </c>
      <c r="D38" s="38">
        <v>0.616</v>
      </c>
      <c r="E38" s="38">
        <v>0.62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ht="15">
      <c r="A39" s="9" t="s">
        <v>59</v>
      </c>
      <c r="B39" s="39">
        <v>940.1354789260012</v>
      </c>
      <c r="C39" s="39">
        <v>990.2255655778581</v>
      </c>
      <c r="D39" s="39">
        <v>1019</v>
      </c>
      <c r="E39" s="39">
        <v>1007.8666165752406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1:60" ht="1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1:60" ht="15">
      <c r="A41" s="25" t="s">
        <v>60</v>
      </c>
      <c r="B41" s="46"/>
      <c r="C41" s="46"/>
      <c r="D41" s="46"/>
      <c r="E41" s="46"/>
      <c r="F41" s="46"/>
      <c r="G41" s="46"/>
      <c r="H41" s="46"/>
      <c r="I41" s="46"/>
      <c r="J41" s="46">
        <f>$B41</f>
        <v>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</row>
    <row r="42" spans="1:60" ht="15">
      <c r="A42" s="9" t="s">
        <v>23</v>
      </c>
      <c r="B42" s="9">
        <v>1377</v>
      </c>
      <c r="C42" s="9">
        <v>1456</v>
      </c>
      <c r="D42" s="9">
        <v>1265</v>
      </c>
      <c r="E42" s="9">
        <v>1232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5">
      <c r="A43" s="9" t="s">
        <v>61</v>
      </c>
      <c r="B43" s="8">
        <v>13.02</v>
      </c>
      <c r="C43" s="8">
        <v>13.02</v>
      </c>
      <c r="D43" s="8">
        <v>13.02</v>
      </c>
      <c r="E43" s="8">
        <v>13.02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">
      <c r="A44" s="9" t="s">
        <v>24</v>
      </c>
      <c r="B44" s="40">
        <v>51.215999999999994</v>
      </c>
      <c r="C44" s="40">
        <v>53.284</v>
      </c>
      <c r="D44" s="40">
        <v>52.7</v>
      </c>
      <c r="E44" s="40">
        <v>54.03195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ht="15">
      <c r="A45" s="9" t="s">
        <v>62</v>
      </c>
      <c r="B45" s="8">
        <v>13.73</v>
      </c>
      <c r="C45" s="8">
        <v>13.73</v>
      </c>
      <c r="D45" s="8">
        <v>13.7</v>
      </c>
      <c r="E45" s="8">
        <v>13.7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5">
      <c r="A46" s="9" t="s">
        <v>25</v>
      </c>
      <c r="B46" s="40">
        <v>170.225</v>
      </c>
      <c r="C46" s="40">
        <v>181.09699999999998</v>
      </c>
      <c r="D46" s="40">
        <v>187.8</v>
      </c>
      <c r="E46" s="40">
        <v>196.34905000000003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ht="15">
      <c r="A47" s="9" t="s">
        <v>63</v>
      </c>
      <c r="B47" s="41">
        <v>12.96</v>
      </c>
      <c r="C47" s="41">
        <v>12.96</v>
      </c>
      <c r="D47" s="41">
        <v>12.96</v>
      </c>
      <c r="E47" s="41">
        <v>13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</row>
    <row r="48" spans="1:60" ht="15">
      <c r="A48" s="9" t="s">
        <v>64</v>
      </c>
      <c r="B48" s="12">
        <v>19.2</v>
      </c>
      <c r="C48" s="12">
        <v>18.6</v>
      </c>
      <c r="D48" s="12">
        <v>18.6</v>
      </c>
      <c r="E48" s="12">
        <v>18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ht="15">
      <c r="A49" s="9" t="s">
        <v>65</v>
      </c>
      <c r="B49" s="42">
        <v>0.17</v>
      </c>
      <c r="C49" s="42">
        <v>0.16</v>
      </c>
      <c r="D49" s="42">
        <v>0.16</v>
      </c>
      <c r="E49" s="42">
        <v>0.16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1:6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5">
      <c r="A51" s="25" t="s">
        <v>66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</row>
    <row r="52" spans="1:61" ht="15">
      <c r="A52" s="9" t="s">
        <v>26</v>
      </c>
      <c r="B52" s="8">
        <v>125.38</v>
      </c>
      <c r="C52" s="8">
        <v>155.14</v>
      </c>
      <c r="D52" s="71">
        <v>169.87</v>
      </c>
      <c r="E52" s="71">
        <v>184.8</v>
      </c>
      <c r="F52" s="8"/>
      <c r="G52" s="8">
        <f>'Financial assumptions'!O11</f>
        <v>162.16</v>
      </c>
      <c r="H52" s="8">
        <f>'Financial assumptions'!P11</f>
        <v>157.08</v>
      </c>
      <c r="I52" s="8">
        <f>'Financial assumptions'!Q11</f>
        <v>173.64</v>
      </c>
      <c r="J52" s="8">
        <f>'Financial assumptions'!R11</f>
        <v>173.73</v>
      </c>
      <c r="K52" s="8">
        <f>'Financial assumptions'!S11</f>
        <v>176.93</v>
      </c>
      <c r="L52" s="8">
        <f>'Financial assumptions'!T11</f>
        <v>180.88</v>
      </c>
      <c r="M52" s="8">
        <f>'Financial assumptions'!U11</f>
        <v>205.8</v>
      </c>
      <c r="N52" s="8" t="e">
        <f>'Financial assumptions'!V11</f>
        <v>#REF!</v>
      </c>
      <c r="O52" s="8" t="e">
        <f>'Financial assumptions'!W11</f>
        <v>#REF!</v>
      </c>
      <c r="P52" s="8" t="e">
        <f>'Financial assumptions'!X11</f>
        <v>#REF!</v>
      </c>
      <c r="Q52" s="8" t="e">
        <f>'Financial assumptions'!Y11</f>
        <v>#REF!</v>
      </c>
      <c r="R52" s="8">
        <f>'Financial assumptions'!Z11</f>
        <v>195.92629374</v>
      </c>
      <c r="S52" s="8">
        <f>'Financial assumptions'!AB11</f>
        <v>186.92403403</v>
      </c>
      <c r="T52" s="8" t="e">
        <f>'Financial assumptions'!AC11</f>
        <v>#REF!</v>
      </c>
      <c r="U52" s="8">
        <f>'Financial assumptions'!AD11</f>
        <v>161.3299285845</v>
      </c>
      <c r="V52" s="8">
        <f>'Financial assumptions'!AE11</f>
        <v>164.468474201</v>
      </c>
      <c r="W52" s="8" t="e">
        <f>'Financial assumptions'!AF11</f>
        <v>#REF!</v>
      </c>
      <c r="X52" s="8">
        <f>'Financial assumptions'!AG11</f>
        <v>178.9319471085</v>
      </c>
      <c r="Y52" s="8">
        <f>'Financial assumptions'!AH11</f>
        <v>180.66596172345834</v>
      </c>
      <c r="Z52" s="8">
        <f>'Financial assumptions'!AI11</f>
        <v>186.14603762995836</v>
      </c>
      <c r="AA52" s="8">
        <f>'Financial assumptions'!AJ11</f>
        <v>174.22448016750002</v>
      </c>
      <c r="AB52" s="8">
        <f>'Financial assumptions'!AK11</f>
        <v>167.5114162475</v>
      </c>
      <c r="AC52" s="8">
        <f>'Financial assumptions'!AL11</f>
        <v>158.609095808</v>
      </c>
      <c r="AD52" s="8">
        <f>'Financial assumptions'!AM11</f>
        <v>156.1862442395</v>
      </c>
      <c r="AE52" s="8">
        <f>'Financial assumptions'!AO11</f>
        <v>160.1761163815</v>
      </c>
      <c r="AF52" s="8">
        <f>'Financial assumptions'!AP11</f>
        <v>162.17746429800002</v>
      </c>
      <c r="AG52" s="8">
        <f>'Financial assumptions'!AQ11</f>
        <v>166.8840498305</v>
      </c>
      <c r="AH52" s="8">
        <f>'Financial assumptions'!AR11</f>
        <v>168.09796069499998</v>
      </c>
      <c r="AI52" s="8">
        <f>'Financial assumptions'!AS11</f>
        <v>169.03783277600002</v>
      </c>
      <c r="AJ52" s="8">
        <f>'Financial assumptions'!AT11</f>
        <v>167.53522515150001</v>
      </c>
      <c r="AK52" s="8">
        <f>'Financial assumptions'!AU11</f>
        <v>167.215</v>
      </c>
      <c r="AL52" s="8">
        <f>'Financial assumptions'!AV11</f>
        <v>163.035</v>
      </c>
      <c r="AM52" s="8">
        <f>'Financial assumptions'!AW11</f>
        <v>165.405</v>
      </c>
      <c r="AN52" s="8">
        <f>'Financial assumptions'!AX11</f>
        <v>170.005</v>
      </c>
      <c r="AO52" s="8">
        <f>'Financial assumptions'!AY11</f>
        <v>183.23000000000002</v>
      </c>
      <c r="AP52" s="8">
        <f>'Financial assumptions'!AZ11</f>
        <v>206.005</v>
      </c>
      <c r="AQ52" s="8">
        <f>'Financial assumptions'!BB11</f>
        <v>239.42</v>
      </c>
      <c r="AR52" s="8">
        <f>'Financial assumptions'!BC11</f>
        <v>246.66</v>
      </c>
      <c r="AS52" s="8">
        <f>'Financial assumptions'!BD11</f>
        <v>249.87</v>
      </c>
      <c r="AT52" s="8">
        <f>'Financial assumptions'!BE11</f>
        <v>239.075</v>
      </c>
      <c r="AU52" s="8">
        <f>'Financial assumptions'!BF11</f>
        <v>233.8</v>
      </c>
      <c r="AV52" s="8">
        <f>'Financial assumptions'!BG11</f>
        <v>231.25</v>
      </c>
      <c r="AW52" s="8">
        <f>'Financial assumptions'!BH11</f>
        <v>233.20499999999998</v>
      </c>
      <c r="AX52" s="8">
        <f>'Financial assumptions'!BI11</f>
        <v>227.49</v>
      </c>
      <c r="AY52" s="8">
        <f>'Financial assumptions'!BJ11</f>
        <v>220.88</v>
      </c>
      <c r="AZ52" s="8">
        <f>'Financial assumptions'!BK11</f>
        <v>220.45</v>
      </c>
      <c r="BA52" s="8"/>
      <c r="BB52" s="8" t="e">
        <f>'Financial assumptions'!#REF!</f>
        <v>#REF!</v>
      </c>
      <c r="BC52" s="8" t="e">
        <f>'Financial assumptions'!#REF!</f>
        <v>#REF!</v>
      </c>
      <c r="BD52" s="8">
        <f>'Financial assumptions'!BM11</f>
        <v>211.38457666569334</v>
      </c>
      <c r="BE52" s="8">
        <f>'Financial assumptions'!BN11</f>
        <v>212.57025202757345</v>
      </c>
      <c r="BF52" s="8">
        <f>'Financial assumptions'!BO11</f>
        <v>214.06924664406833</v>
      </c>
      <c r="BG52" s="8">
        <f>'Financial assumptions'!BP11</f>
        <v>215.5372285564455</v>
      </c>
      <c r="BH52" s="8">
        <f>'Financial assumptions'!BQ11</f>
        <v>216.297858111034</v>
      </c>
      <c r="BI52" s="8">
        <f>'Financial assumptions'!BR11</f>
        <v>206.68266246540304</v>
      </c>
    </row>
    <row r="53" spans="1:61" ht="15">
      <c r="A53" s="9" t="s">
        <v>27</v>
      </c>
      <c r="B53" s="8">
        <v>226.33</v>
      </c>
      <c r="C53" s="8">
        <v>272.8</v>
      </c>
      <c r="D53" s="71">
        <v>242.27</v>
      </c>
      <c r="E53" s="71">
        <v>259.51</v>
      </c>
      <c r="F53" s="8"/>
      <c r="G53" s="8">
        <f>'Financial assumptions'!O13</f>
        <v>278.82</v>
      </c>
      <c r="H53" s="8">
        <f>'Financial assumptions'!P13</f>
        <v>266.32</v>
      </c>
      <c r="I53" s="8">
        <f>'Financial assumptions'!Q13</f>
        <v>244.35</v>
      </c>
      <c r="J53" s="8">
        <f>'Financial assumptions'!R13</f>
        <v>295.37</v>
      </c>
      <c r="K53" s="8">
        <f>'Financial assumptions'!S13</f>
        <v>304.04</v>
      </c>
      <c r="L53" s="8">
        <f>'Financial assumptions'!T13</f>
        <v>323.05</v>
      </c>
      <c r="M53" s="8">
        <f>'Financial assumptions'!U13</f>
        <v>292.6</v>
      </c>
      <c r="N53" s="8" t="e">
        <f>'Financial assumptions'!V13</f>
        <v>#REF!</v>
      </c>
      <c r="O53" s="8" t="e">
        <f>'Financial assumptions'!W13</f>
        <v>#REF!</v>
      </c>
      <c r="P53" s="8" t="e">
        <f>'Financial assumptions'!X13</f>
        <v>#REF!</v>
      </c>
      <c r="Q53" s="8" t="e">
        <f>'Financial assumptions'!Y13</f>
        <v>#REF!</v>
      </c>
      <c r="R53" s="8">
        <f>'Financial assumptions'!Z13</f>
        <v>265.349165858</v>
      </c>
      <c r="S53" s="8">
        <f>'Financial assumptions'!AB13</f>
        <v>245.512083333</v>
      </c>
      <c r="T53" s="8" t="e">
        <f>'Financial assumptions'!AC13</f>
        <v>#REF!</v>
      </c>
      <c r="U53" s="8">
        <f>'Financial assumptions'!AD13</f>
        <v>216.736071026</v>
      </c>
      <c r="V53" s="8">
        <f>'Financial assumptions'!AE13</f>
        <v>220.103883388</v>
      </c>
      <c r="W53" s="8" t="e">
        <f>'Financial assumptions'!AF13</f>
        <v>#REF!</v>
      </c>
      <c r="X53" s="8">
        <f>'Financial assumptions'!AG13</f>
        <v>240.383957947</v>
      </c>
      <c r="Y53" s="8">
        <f>'Financial assumptions'!AH13</f>
        <v>247.56502454158328</v>
      </c>
      <c r="Z53" s="8">
        <f>'Financial assumptions'!AI13</f>
        <v>260.51040881191665</v>
      </c>
      <c r="AA53" s="8">
        <f>'Financial assumptions'!AJ13</f>
        <v>258.270795539</v>
      </c>
      <c r="AB53" s="8">
        <f>'Financial assumptions'!AK13</f>
        <v>239.429504876</v>
      </c>
      <c r="AC53" s="8">
        <f>'Financial assumptions'!AL13</f>
        <v>234.072469789</v>
      </c>
      <c r="AD53" s="8">
        <f>'Financial assumptions'!AM13</f>
        <v>234.770650711</v>
      </c>
      <c r="AE53" s="8">
        <f>'Financial assumptions'!AO13</f>
        <v>234.362465008</v>
      </c>
      <c r="AF53" s="8">
        <f>'Financial assumptions'!AP13</f>
        <v>239.811461039</v>
      </c>
      <c r="AG53" s="8">
        <f>'Financial assumptions'!AQ13</f>
        <v>245.20517077</v>
      </c>
      <c r="AH53" s="8">
        <f>'Financial assumptions'!AR13</f>
        <v>245.846888342</v>
      </c>
      <c r="AI53" s="8">
        <f>'Financial assumptions'!AS13</f>
        <v>245.42951712</v>
      </c>
      <c r="AJ53" s="8">
        <f>'Financial assumptions'!AT13</f>
        <v>243.363385417</v>
      </c>
      <c r="AK53" s="8">
        <f>'Financial assumptions'!AU13</f>
        <v>238.62</v>
      </c>
      <c r="AL53" s="8">
        <f>'Financial assumptions'!AV13</f>
        <v>244.92</v>
      </c>
      <c r="AM53" s="8">
        <f>'Financial assumptions'!AW13</f>
        <v>248.65</v>
      </c>
      <c r="AN53" s="8">
        <f>'Financial assumptions'!AX13</f>
        <v>242.28</v>
      </c>
      <c r="AO53" s="8">
        <f>'Financial assumptions'!AY13</f>
        <v>255.36</v>
      </c>
      <c r="AP53" s="8">
        <f>'Financial assumptions'!AZ13</f>
        <v>277.44</v>
      </c>
      <c r="AQ53" s="8">
        <f>'Financial assumptions'!BB13</f>
        <v>317.26</v>
      </c>
      <c r="AR53" s="8">
        <f>'Financial assumptions'!BC13</f>
        <v>320.77</v>
      </c>
      <c r="AS53" s="8">
        <f>'Financial assumptions'!BD13</f>
        <v>326.47</v>
      </c>
      <c r="AT53" s="8">
        <f>'Financial assumptions'!BE13</f>
        <v>312.4</v>
      </c>
      <c r="AU53" s="8">
        <f>'Financial assumptions'!BF13</f>
        <v>316.52</v>
      </c>
      <c r="AV53" s="8">
        <f>'Financial assumptions'!BG13</f>
        <v>287.59</v>
      </c>
      <c r="AW53" s="8">
        <f>'Financial assumptions'!BH13</f>
        <v>287.59</v>
      </c>
      <c r="AX53" s="8">
        <f>'Financial assumptions'!BI13</f>
        <v>295</v>
      </c>
      <c r="AY53" s="8">
        <f>'Financial assumptions'!BJ13</f>
        <v>287.59</v>
      </c>
      <c r="AZ53" s="8">
        <f>'Financial assumptions'!BK13</f>
        <v>286.38</v>
      </c>
      <c r="BA53" s="8"/>
      <c r="BB53" s="8" t="e">
        <f>'Financial assumptions'!#REF!</f>
        <v>#REF!</v>
      </c>
      <c r="BC53" s="8" t="e">
        <f>'Financial assumptions'!#REF!</f>
        <v>#REF!</v>
      </c>
      <c r="BD53" s="8">
        <f>'Financial assumptions'!BM13</f>
        <v>278.6100282379554</v>
      </c>
      <c r="BE53" s="8">
        <f>'Financial assumptions'!BN13</f>
        <v>280.5189472094544</v>
      </c>
      <c r="BF53" s="8">
        <f>'Financial assumptions'!BO13</f>
        <v>282.8872455697157</v>
      </c>
      <c r="BG53" s="8">
        <f>'Financial assumptions'!BP13</f>
        <v>285.18402282200225</v>
      </c>
      <c r="BH53" s="8">
        <f>'Financial assumptions'!BQ13</f>
        <v>286.4058083909867</v>
      </c>
      <c r="BI53" s="8">
        <f>'Financial assumptions'!BR13</f>
        <v>271.21556450013975</v>
      </c>
    </row>
    <row r="54" spans="1:61" ht="15">
      <c r="A54" s="9" t="s">
        <v>28</v>
      </c>
      <c r="B54" s="8">
        <v>155.57</v>
      </c>
      <c r="C54" s="8">
        <v>184.12</v>
      </c>
      <c r="D54" s="71">
        <v>190.88</v>
      </c>
      <c r="E54" s="71">
        <v>211.26</v>
      </c>
      <c r="F54" s="8"/>
      <c r="G54" s="8">
        <f>'Financial assumptions'!O15</f>
        <v>211.83</v>
      </c>
      <c r="H54" s="8">
        <f>'Financial assumptions'!P15</f>
        <v>200.38</v>
      </c>
      <c r="I54" s="8">
        <f>'Financial assumptions'!Q15</f>
        <v>215.97</v>
      </c>
      <c r="J54" s="8">
        <f>'Financial assumptions'!R15</f>
        <v>226.38</v>
      </c>
      <c r="K54" s="8">
        <f>'Financial assumptions'!S15</f>
        <v>228.55</v>
      </c>
      <c r="L54" s="8">
        <f>'Financial assumptions'!T15</f>
        <v>221.9</v>
      </c>
      <c r="M54" s="8">
        <f>'Financial assumptions'!U15</f>
        <v>219.3</v>
      </c>
      <c r="N54" s="8" t="e">
        <f>'Financial assumptions'!V15</f>
        <v>#REF!</v>
      </c>
      <c r="O54" s="8" t="e">
        <f>'Financial assumptions'!W15</f>
        <v>#REF!</v>
      </c>
      <c r="P54" s="8" t="e">
        <f>'Financial assumptions'!X15</f>
        <v>#REF!</v>
      </c>
      <c r="Q54" s="8" t="e">
        <f>'Financial assumptions'!Y15</f>
        <v>#REF!</v>
      </c>
      <c r="R54" s="8">
        <f>'Financial assumptions'!Z15</f>
        <v>216.8169831585</v>
      </c>
      <c r="S54" s="8">
        <f>'Financial assumptions'!AB15</f>
        <v>199.668441622</v>
      </c>
      <c r="T54" s="8" t="e">
        <f>'Financial assumptions'!AC15</f>
        <v>#REF!</v>
      </c>
      <c r="U54" s="8">
        <f>'Financial assumptions'!AD15</f>
        <v>170.512831832</v>
      </c>
      <c r="V54" s="8">
        <f>'Financial assumptions'!AE15</f>
        <v>175.571601621</v>
      </c>
      <c r="W54" s="8" t="e">
        <f>'Financial assumptions'!AF15</f>
        <v>#REF!</v>
      </c>
      <c r="X54" s="8">
        <f>'Financial assumptions'!AG15</f>
        <v>194.91580446249998</v>
      </c>
      <c r="Y54" s="8">
        <f>'Financial assumptions'!AH15</f>
        <v>197.65807912845833</v>
      </c>
      <c r="Z54" s="8">
        <f>'Financial assumptions'!AI15</f>
        <v>208.099731673375</v>
      </c>
      <c r="AA54" s="8">
        <f>'Financial assumptions'!AJ15</f>
        <v>201.8480469505</v>
      </c>
      <c r="AB54" s="8">
        <f>'Financial assumptions'!AK15</f>
        <v>189.43048531350001</v>
      </c>
      <c r="AC54" s="8">
        <f>'Financial assumptions'!AL15</f>
        <v>181.29014285699998</v>
      </c>
      <c r="AD54" s="8">
        <f>'Financial assumptions'!AM15</f>
        <v>180.106111822</v>
      </c>
      <c r="AE54" s="8">
        <f>'Financial assumptions'!AO15</f>
        <v>182.069791667</v>
      </c>
      <c r="AF54" s="8">
        <f>'Financial assumptions'!AP15</f>
        <v>186.6898696275</v>
      </c>
      <c r="AG54" s="8">
        <f>'Financial assumptions'!AQ15</f>
        <v>191.45245419550002</v>
      </c>
      <c r="AH54" s="8">
        <f>'Financial assumptions'!AR15</f>
        <v>192.030547919</v>
      </c>
      <c r="AI54" s="8">
        <f>'Financial assumptions'!AS15</f>
        <v>194.180951221</v>
      </c>
      <c r="AJ54" s="8">
        <f>'Financial assumptions'!AT15</f>
        <v>194.30948097599997</v>
      </c>
      <c r="AK54" s="8">
        <f>'Financial assumptions'!AU15</f>
        <v>193.01999999999998</v>
      </c>
      <c r="AL54" s="8">
        <f>'Financial assumptions'!AV15</f>
        <v>192.88</v>
      </c>
      <c r="AM54" s="8">
        <f>'Financial assumptions'!AW15</f>
        <v>197.53</v>
      </c>
      <c r="AN54" s="8">
        <f>'Financial assumptions'!AX15</f>
        <v>196.31</v>
      </c>
      <c r="AO54" s="8">
        <f>'Financial assumptions'!AY15</f>
        <v>210.39</v>
      </c>
      <c r="AP54" s="8">
        <f>'Financial assumptions'!AZ15</f>
        <v>231.60500000000002</v>
      </c>
      <c r="AQ54" s="8">
        <f>'Financial assumptions'!BB15</f>
        <v>265.615</v>
      </c>
      <c r="AR54" s="8">
        <f>'Financial assumptions'!BC15</f>
        <v>246.66</v>
      </c>
      <c r="AS54" s="8">
        <f>'Financial assumptions'!BD15</f>
        <v>276.95000000000005</v>
      </c>
      <c r="AT54" s="8">
        <f>'Financial assumptions'!BE15</f>
        <v>264.385</v>
      </c>
      <c r="AU54" s="8">
        <f>'Financial assumptions'!BF15</f>
        <v>265.56</v>
      </c>
      <c r="AV54" s="8">
        <f>'Financial assumptions'!BG15</f>
        <v>241.045</v>
      </c>
      <c r="AW54" s="8">
        <f>'Financial assumptions'!BH15</f>
        <v>241.045</v>
      </c>
      <c r="AX54" s="8">
        <f>'Financial assumptions'!BI15</f>
        <v>248.245</v>
      </c>
      <c r="AY54" s="8">
        <f>'Financial assumptions'!BJ15</f>
        <v>241.045</v>
      </c>
      <c r="AZ54" s="8">
        <f>'Financial assumptions'!BK15</f>
        <v>240.13</v>
      </c>
      <c r="BA54" s="8"/>
      <c r="BB54" s="8" t="e">
        <f>'Financial assumptions'!#REF!</f>
        <v>#REF!</v>
      </c>
      <c r="BC54" s="8" t="e">
        <f>'Financial assumptions'!#REF!</f>
        <v>#REF!</v>
      </c>
      <c r="BD54" s="8">
        <f>'Financial assumptions'!BM15</f>
        <v>230.97046529369246</v>
      </c>
      <c r="BE54" s="8">
        <f>'Financial assumptions'!BN15</f>
        <v>232.402119889219</v>
      </c>
      <c r="BF54" s="8">
        <f>'Financial assumptions'!BO15</f>
        <v>234.2644423986411</v>
      </c>
      <c r="BG54" s="8">
        <f>'Financial assumptions'!BP15</f>
        <v>236.11440160915507</v>
      </c>
      <c r="BH54" s="8">
        <f>'Financial assumptions'!BQ15</f>
        <v>237.03610247597763</v>
      </c>
      <c r="BI54" s="8">
        <f>'Financial assumptions'!BR15</f>
        <v>225.089157913942</v>
      </c>
    </row>
    <row r="55" spans="1:58" ht="15">
      <c r="A55" s="9" t="s">
        <v>67</v>
      </c>
      <c r="B55" s="8">
        <v>9.25</v>
      </c>
      <c r="C55" s="8">
        <v>9.542846270942173</v>
      </c>
      <c r="D55" s="71">
        <v>9.98</v>
      </c>
      <c r="E55" s="71">
        <v>9.888507718696397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58" ht="15">
      <c r="A56" s="9" t="s">
        <v>158</v>
      </c>
      <c r="B56" s="8">
        <v>39</v>
      </c>
      <c r="C56" s="8">
        <v>45</v>
      </c>
      <c r="D56" s="8">
        <v>40</v>
      </c>
      <c r="E56" s="8">
        <v>35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1:58" ht="15">
      <c r="A57" s="9" t="s">
        <v>159</v>
      </c>
      <c r="B57" s="8">
        <v>0.5043984379586178</v>
      </c>
      <c r="C57" s="8">
        <v>0.4837181020023145</v>
      </c>
      <c r="D57" s="8">
        <v>0.48710412871633074</v>
      </c>
      <c r="E57" s="8">
        <v>0.5523760819643191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1:58" ht="15">
      <c r="A58" s="9" t="s">
        <v>68</v>
      </c>
      <c r="B58" s="8">
        <v>0</v>
      </c>
      <c r="C58" s="8">
        <v>0</v>
      </c>
      <c r="D58" s="8">
        <v>0</v>
      </c>
      <c r="E58" s="8">
        <v>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1:61" ht="15">
      <c r="A59" s="9" t="s">
        <v>69</v>
      </c>
      <c r="B59" s="8">
        <v>10.33</v>
      </c>
      <c r="C59" s="8">
        <v>13.46</v>
      </c>
      <c r="D59" s="8">
        <v>12.68</v>
      </c>
      <c r="E59" s="8">
        <v>12.21269296740995</v>
      </c>
      <c r="F59" s="8"/>
      <c r="G59" s="8">
        <f>'Financial assumptions'!O5/'Financial assumptions'!$N5*'Estimated production costs'!$B59</f>
        <v>10.10862447047097</v>
      </c>
      <c r="H59" s="8">
        <f>'Financial assumptions'!P5/'Financial assumptions'!$N5*'Estimated production costs'!$B59</f>
        <v>11.174315973087465</v>
      </c>
      <c r="I59" s="8">
        <f>'Financial assumptions'!Q5/'Financial assumptions'!$N5*'Estimated production costs'!$B59</f>
        <v>11.25926239720907</v>
      </c>
      <c r="J59" s="8">
        <f>'Financial assumptions'!R5/'Financial assumptions'!$N5*'Estimated production costs'!$B59</f>
        <v>11.537268876152504</v>
      </c>
      <c r="K59" s="8">
        <f>'Financial assumptions'!S5/'Financial assumptions'!$N5*'Estimated production costs'!$B59</f>
        <v>11.606770495888362</v>
      </c>
      <c r="L59" s="8">
        <f>'Financial assumptions'!T5/'Financial assumptions'!$N5*'Estimated production costs'!$B59</f>
        <v>11.6531049090456</v>
      </c>
      <c r="M59" s="8">
        <f>'Financial assumptions'!U5/'Financial assumptions'!$N5*'Estimated production costs'!$B59</f>
        <v>11.707161724395712</v>
      </c>
      <c r="N59" s="8">
        <f>'Financial assumptions'!V5/'Financial assumptions'!$N5*'Estimated production costs'!$B59</f>
        <v>12.386733117368552</v>
      </c>
      <c r="O59" s="8">
        <f>'Financial assumptions'!W5/'Financial assumptions'!$N5*'Estimated production costs'!$B59</f>
        <v>13.915768751557437</v>
      </c>
      <c r="P59" s="8">
        <f>'Financial assumptions'!X5/'Financial assumptions'!$N5*'Estimated production costs'!$B59</f>
        <v>13.90032394717169</v>
      </c>
      <c r="Q59" s="8">
        <f>'Financial assumptions'!Y5/'Financial assumptions'!$N5*'Estimated production costs'!$B59</f>
        <v>13.846267131821579</v>
      </c>
      <c r="R59" s="8">
        <f>'Financial assumptions'!Z5/'Financial assumptions'!$N5*'Estimated production costs'!$B59</f>
        <v>13.792210316471467</v>
      </c>
      <c r="S59" s="8">
        <f>'Financial assumptions'!AB5/'Financial assumptions'!$N5*'Estimated production costs'!$B59</f>
        <v>13.769043109892847</v>
      </c>
      <c r="T59" s="8">
        <f>'Financial assumptions'!AC5/'Financial assumptions'!$N5*'Estimated production costs'!$B59</f>
        <v>13.738153501121355</v>
      </c>
      <c r="U59" s="8">
        <f>'Financial assumptions'!AD5/'Financial assumptions'!$N5*'Estimated production costs'!$B59</f>
        <v>13.352033391477697</v>
      </c>
      <c r="V59" s="8">
        <f>'Financial assumptions'!AE5/'Financial assumptions'!$N5*'Estimated production costs'!$B59</f>
        <v>13.012247694991279</v>
      </c>
      <c r="W59" s="8">
        <f>'Financial assumptions'!AF5/'Financial assumptions'!$N5*'Estimated production costs'!$B59</f>
        <v>12.888689259905307</v>
      </c>
      <c r="X59" s="8">
        <f>'Financial assumptions'!AG5/'Financial assumptions'!$N5*'Estimated production costs'!$B59</f>
        <v>12.94274607525542</v>
      </c>
      <c r="Y59" s="8">
        <f>'Financial assumptions'!AH5/'Financial assumptions'!$AA5*'Estimated production costs'!$C59</f>
        <v>14.130134062352138</v>
      </c>
      <c r="Z59" s="8">
        <f>'Financial assumptions'!AI5/'Financial assumptions'!$AA5*'Estimated production costs'!$C59</f>
        <v>14.198067399190368</v>
      </c>
      <c r="AA59" s="8">
        <f>'Financial assumptions'!AJ5/'Financial assumptions'!$AA5*'Estimated production costs'!$C59</f>
        <v>14.181084064980809</v>
      </c>
      <c r="AB59" s="8">
        <f>'Financial assumptions'!AK5/'Financial assumptions'!$AA5*'Estimated production costs'!$C59</f>
        <v>14.198067399190368</v>
      </c>
      <c r="AC59" s="8">
        <f>'Financial assumptions'!AL5/'Financial assumptions'!$AA5*'Estimated production costs'!$C59</f>
        <v>14.215050733399925</v>
      </c>
      <c r="AD59" s="8">
        <f>'Financial assumptions'!AM5/'Financial assumptions'!$AA5*'Estimated production costs'!$C59</f>
        <v>14.232034067609481</v>
      </c>
      <c r="AE59" s="8">
        <f>'Financial assumptions'!AO5/'Financial assumptions'!$AA5*'Estimated production costs'!$C59</f>
        <v>14.399744492928868</v>
      </c>
      <c r="AF59" s="8">
        <f>'Financial assumptions'!AP5/'Financial assumptions'!$AA5*'Estimated production costs'!$C59</f>
        <v>14.359409074181167</v>
      </c>
      <c r="AG59" s="8">
        <f>'Financial assumptions'!AQ5/'Financial assumptions'!$AA5*'Estimated production costs'!$C59</f>
        <v>14.070692392618682</v>
      </c>
      <c r="AH59" s="8">
        <f>'Financial assumptions'!AR5/'Financial assumptions'!$AA5*'Estimated production costs'!$C59</f>
        <v>14.104659061037799</v>
      </c>
      <c r="AI59" s="8">
        <f>'Financial assumptions'!AS5/'Financial assumptions'!$AA5*'Estimated production costs'!$C59</f>
        <v>13.900859050523106</v>
      </c>
      <c r="AJ59" s="8">
        <f>'Financial assumptions'!AT5/'Financial assumptions'!$AA5*'Estimated production costs'!$C59</f>
        <v>13.892367383418325</v>
      </c>
      <c r="AK59" s="8">
        <f>'Financial assumptions'!AU5/'Financial assumptions'!$AA5*'Estimated production costs'!$D59</f>
        <v>13.063313180169285</v>
      </c>
      <c r="AL59" s="8">
        <f>'Financial assumptions'!AV5/'Financial assumptions'!$AA5*'Estimated production costs'!$D59</f>
        <v>13.055313600757055</v>
      </c>
      <c r="AM59" s="8">
        <f>'Financial assumptions'!AW5/'Financial assumptions'!$AA5*'Estimated production costs'!$D59</f>
        <v>13.055313600757055</v>
      </c>
      <c r="AN59" s="8">
        <f>'Financial assumptions'!AX5/'Financial assumptions'!$AA5*'Estimated production costs'!$D59</f>
        <v>13.055313600757055</v>
      </c>
      <c r="AO59" s="8">
        <f>'Financial assumptions'!AY5/'Financial assumptions'!$AA5*'Estimated production costs'!$D59</f>
        <v>13.071312759581513</v>
      </c>
      <c r="AP59" s="8">
        <f>'Financial assumptions'!AZ5/'Financial assumptions'!$AA5*'Estimated production costs'!$D59</f>
        <v>13.08731191840597</v>
      </c>
      <c r="AQ59" s="8">
        <f>'Financial assumptions'!BB5/'Financial assumptions'!$AA5*'Estimated production costs'!$D59</f>
        <v>13.623283739025286</v>
      </c>
      <c r="AR59" s="8">
        <f>'Financial assumptions'!BC5/'Financial assumptions'!$AA5*'Estimated production costs'!$D59</f>
        <v>13.1886399242942</v>
      </c>
      <c r="AS59" s="8">
        <f>'Financial assumptions'!BD5/'Financial assumptions'!$AA5*'Estimated production costs'!$D59</f>
        <v>13.935267336102198</v>
      </c>
      <c r="AT59" s="8">
        <f>'Financial assumptions'!BE5/'Financial assumptions'!$AA5*'Estimated production costs'!$D59</f>
        <v>13.959266074338887</v>
      </c>
      <c r="AU59" s="8">
        <f>'Financial assumptions'!BF5/'Financial assumptions'!$AA5*'Estimated production costs'!$D59</f>
        <v>13.903269018453287</v>
      </c>
      <c r="AV59" s="8">
        <f>'Financial assumptions'!BG5/'Financial assumptions'!$AA5*'Estimated production costs'!$D59</f>
        <v>13.919268177277742</v>
      </c>
      <c r="AW59" s="8">
        <f>'Financial assumptions'!BH5/'Financial assumptions'!$AA5*'Estimated production costs'!$D59</f>
        <v>13.919268177277742</v>
      </c>
      <c r="AX59" s="8">
        <f>'Financial assumptions'!BI5/'Financial assumptions'!$AA5*'Estimated production costs'!$D59</f>
        <v>13.919268177277742</v>
      </c>
      <c r="AY59" s="8">
        <f>'Financial assumptions'!BJ5/'Financial assumptions'!$BA5*'Estimated production costs'!$E59</f>
        <v>12.879159848220862</v>
      </c>
      <c r="AZ59" s="8">
        <f>'Financial assumptions'!BK5/'Financial assumptions'!$BA5*'Estimated production costs'!$E59</f>
        <v>13.064418188960518</v>
      </c>
      <c r="BA59" s="8"/>
      <c r="BB59" s="8" t="e">
        <f>'Financial assumptions'!#REF!/'Financial assumptions'!$AA5*'Estimated production costs'!$D59</f>
        <v>#REF!</v>
      </c>
      <c r="BC59" s="8" t="e">
        <f>'Financial assumptions'!#REF!/'Financial assumptions'!$AA5*'Estimated production costs'!$D59</f>
        <v>#REF!</v>
      </c>
      <c r="BD59" s="8">
        <f>'Financial assumptions'!BM5/'Financial assumptions'!$AA5*'Estimated production costs'!$D59</f>
        <v>13.903269018453287</v>
      </c>
      <c r="BE59" s="8">
        <f>'Financial assumptions'!BN5/'Financial assumptions'!$AA5*'Estimated production costs'!$D59</f>
        <v>13.903269018453287</v>
      </c>
      <c r="BF59" s="8">
        <f>'Financial assumptions'!BO5/'Financial assumptions'!$AA5*'Estimated production costs'!$D59</f>
        <v>13.903269018453287</v>
      </c>
      <c r="BG59" s="8">
        <f>'Financial assumptions'!BP5/'Financial assumptions'!$AA5*'Estimated production costs'!$D59</f>
        <v>13.903269018453287</v>
      </c>
      <c r="BH59" s="8">
        <f>'Financial assumptions'!BQ5/'Financial assumptions'!$AA5*'Estimated production costs'!$D59</f>
        <v>13.903269018453287</v>
      </c>
      <c r="BI59" s="8">
        <f>'Financial assumptions'!BR5/'Financial assumptions'!$AA5*'Estimated production costs'!$D59</f>
        <v>13.903269018453287</v>
      </c>
    </row>
    <row r="60" spans="1:61" ht="15">
      <c r="A60" s="9" t="s">
        <v>70</v>
      </c>
      <c r="B60" s="8">
        <v>2.4555312542235557</v>
      </c>
      <c r="C60" s="8">
        <v>2.800542303186585</v>
      </c>
      <c r="D60" s="8">
        <v>2.98</v>
      </c>
      <c r="E60" s="8">
        <v>2.873070325900515</v>
      </c>
      <c r="F60" s="8"/>
      <c r="G60" s="8">
        <f>'Financial assumptions'!O5/'Financial assumptions'!$N5*'Estimated production costs'!$B60</f>
        <v>2.4029083566747826</v>
      </c>
      <c r="H60" s="8">
        <f>'Financial assumptions'!P5/'Financial assumptions'!$N5*'Estimated production costs'!$B60</f>
        <v>2.6562325378979454</v>
      </c>
      <c r="I60" s="8">
        <f>'Financial assumptions'!Q5/'Financial assumptions'!$N5*'Estimated production costs'!$B60</f>
        <v>2.676425045096893</v>
      </c>
      <c r="J60" s="8">
        <f>'Financial assumptions'!R5/'Financial assumptions'!$N5*'Estimated production costs'!$B60</f>
        <v>2.7425096141116314</v>
      </c>
      <c r="K60" s="8">
        <f>'Financial assumptions'!S5/'Financial assumptions'!$N5*'Estimated production costs'!$B60</f>
        <v>2.759030756365316</v>
      </c>
      <c r="L60" s="8">
        <f>'Financial assumptions'!T5/'Financial assumptions'!$N5*'Estimated production costs'!$B60</f>
        <v>2.770044851201105</v>
      </c>
      <c r="M60" s="8">
        <f>'Financial assumptions'!U5/'Financial assumptions'!$N5*'Estimated production costs'!$B60</f>
        <v>2.7828946285095264</v>
      </c>
      <c r="N60" s="8">
        <f>'Financial assumptions'!V5/'Financial assumptions'!$N5*'Estimated production costs'!$B60</f>
        <v>2.9444346861011086</v>
      </c>
      <c r="O60" s="8">
        <f>'Financial assumptions'!W5/'Financial assumptions'!$N5*'Estimated production costs'!$B60</f>
        <v>3.307899815682168</v>
      </c>
      <c r="P60" s="8">
        <f>'Financial assumptions'!X5/'Financial assumptions'!$N5*'Estimated production costs'!$B60</f>
        <v>3.304228450736905</v>
      </c>
      <c r="Q60" s="8">
        <f>'Financial assumptions'!Y5/'Financial assumptions'!$N5*'Estimated production costs'!$B60</f>
        <v>3.291378673428484</v>
      </c>
      <c r="R60" s="8">
        <f>'Financial assumptions'!Z5/'Financial assumptions'!$N5*'Estimated production costs'!$B60</f>
        <v>3.2785288961200623</v>
      </c>
      <c r="S60" s="8">
        <f>'Financial assumptions'!AB5/'Financial assumptions'!$N5*'Estimated production costs'!$B60</f>
        <v>3.2730218487021676</v>
      </c>
      <c r="T60" s="8">
        <f>'Financial assumptions'!AC5/'Financial assumptions'!$N5*'Estimated production costs'!$B60</f>
        <v>3.265679118811641</v>
      </c>
      <c r="U60" s="8">
        <f>'Financial assumptions'!AD5/'Financial assumptions'!$N5*'Estimated production costs'!$B60</f>
        <v>3.173894995180061</v>
      </c>
      <c r="V60" s="8">
        <f>'Financial assumptions'!AE5/'Financial assumptions'!$N5*'Estimated production costs'!$B60</f>
        <v>3.0931249663842695</v>
      </c>
      <c r="W60" s="8">
        <f>'Financial assumptions'!AF5/'Financial assumptions'!$N5*'Estimated production costs'!$B60</f>
        <v>3.0637540468221633</v>
      </c>
      <c r="X60" s="8">
        <f>'Financial assumptions'!AG5/'Financial assumptions'!$N5*'Estimated production costs'!$B60</f>
        <v>3.076603824130585</v>
      </c>
      <c r="Y60" s="8">
        <f>'Financial assumptions'!AH5/'Financial assumptions'!$AA5*'Estimated production costs'!$C60</f>
        <v>2.9399731197113574</v>
      </c>
      <c r="Z60" s="8">
        <f>'Financial assumptions'!AI5/'Financial assumptions'!$AA5*'Estimated production costs'!$C60</f>
        <v>2.954107605863815</v>
      </c>
      <c r="AA60" s="8">
        <f>'Financial assumptions'!AJ5/'Financial assumptions'!$AA5*'Estimated production costs'!$C60</f>
        <v>2.9505739843257004</v>
      </c>
      <c r="AB60" s="8">
        <f>'Financial assumptions'!AK5/'Financial assumptions'!$AA5*'Estimated production costs'!$C60</f>
        <v>2.954107605863815</v>
      </c>
      <c r="AC60" s="8">
        <f>'Financial assumptions'!AL5/'Financial assumptions'!$AA5*'Estimated production costs'!$C60</f>
        <v>2.95764122740193</v>
      </c>
      <c r="AD60" s="8">
        <f>'Financial assumptions'!AM5/'Financial assumptions'!$AA5*'Estimated production costs'!$C60</f>
        <v>2.9611748489400442</v>
      </c>
      <c r="AE60" s="8">
        <f>'Financial assumptions'!AO5/'Financial assumptions'!$AA5*'Estimated production costs'!$C60</f>
        <v>2.9960693616289262</v>
      </c>
      <c r="AF60" s="8">
        <f>'Financial assumptions'!AP5/'Financial assumptions'!$AA5*'Estimated production costs'!$C60</f>
        <v>2.9876770104759043</v>
      </c>
      <c r="AG60" s="8">
        <f>'Financial assumptions'!AQ5/'Financial assumptions'!$AA5*'Estimated production costs'!$C60</f>
        <v>2.9276054443279556</v>
      </c>
      <c r="AH60" s="8">
        <f>'Financial assumptions'!AR5/'Financial assumptions'!$AA5*'Estimated production costs'!$C60</f>
        <v>2.9346726874041846</v>
      </c>
      <c r="AI60" s="8">
        <f>'Financial assumptions'!AS5/'Financial assumptions'!$AA5*'Estimated production costs'!$C60</f>
        <v>2.8922692289468097</v>
      </c>
      <c r="AJ60" s="8">
        <f>'Financial assumptions'!AT5/'Financial assumptions'!$AA5*'Estimated production costs'!$C60</f>
        <v>2.890502418177752</v>
      </c>
      <c r="AK60" s="8">
        <f>'Financial assumptions'!AU5/'Financial assumptions'!$AA5*'Estimated production costs'!$D60</f>
        <v>3.070084643288996</v>
      </c>
      <c r="AL60" s="8">
        <f>'Financial assumptions'!AV5/'Financial assumptions'!$AA5*'Estimated production costs'!$D60</f>
        <v>3.0682046159507905</v>
      </c>
      <c r="AM60" s="8">
        <f>'Financial assumptions'!AW5/'Financial assumptions'!$AA5*'Estimated production costs'!$D60</f>
        <v>3.0682046159507905</v>
      </c>
      <c r="AN60" s="8">
        <f>'Financial assumptions'!AX5/'Financial assumptions'!$AA5*'Estimated production costs'!$D60</f>
        <v>3.0682046159507905</v>
      </c>
      <c r="AO60" s="8">
        <f>'Financial assumptions'!AY5/'Financial assumptions'!$AA5*'Estimated production costs'!$D60</f>
        <v>3.0719646706272012</v>
      </c>
      <c r="AP60" s="8">
        <f>'Financial assumptions'!AZ5/'Financial assumptions'!$AA5*'Estimated production costs'!$D60</f>
        <v>3.075724725303611</v>
      </c>
      <c r="AQ60" s="8">
        <f>'Financial assumptions'!BB5/'Financial assumptions'!$AA5*'Estimated production costs'!$D60</f>
        <v>3.201686556963356</v>
      </c>
      <c r="AR60" s="8">
        <f>'Financial assumptions'!BC5/'Financial assumptions'!$AA5*'Estimated production costs'!$D60</f>
        <v>3.0995384049208767</v>
      </c>
      <c r="AS60" s="8">
        <f>'Financial assumptions'!BD5/'Financial assumptions'!$AA5*'Estimated production costs'!$D60</f>
        <v>3.275007623153356</v>
      </c>
      <c r="AT60" s="8">
        <f>'Financial assumptions'!BE5/'Financial assumptions'!$AA5*'Estimated production costs'!$D60</f>
        <v>3.280647705167972</v>
      </c>
      <c r="AU60" s="8">
        <f>'Financial assumptions'!BF5/'Financial assumptions'!$AA5*'Estimated production costs'!$D60</f>
        <v>3.267487513800536</v>
      </c>
      <c r="AV60" s="8">
        <f>'Financial assumptions'!BG5/'Financial assumptions'!$AA5*'Estimated production costs'!$D60</f>
        <v>3.2712475684769458</v>
      </c>
      <c r="AW60" s="8">
        <f>'Financial assumptions'!BH5/'Financial assumptions'!$AA5*'Estimated production costs'!$D60</f>
        <v>3.2712475684769458</v>
      </c>
      <c r="AX60" s="8">
        <f>'Financial assumptions'!BI5/'Financial assumptions'!$AA5*'Estimated production costs'!$D60</f>
        <v>3.2712475684769458</v>
      </c>
      <c r="AY60" s="8">
        <f>'Financial assumptions'!BJ5/'Financial assumptions'!$BA5*'Estimated production costs'!$E60</f>
        <v>3.029858531709262</v>
      </c>
      <c r="AZ60" s="8">
        <f>'Financial assumptions'!BK5/'Financial assumptions'!$BA5*'Estimated production costs'!$E60</f>
        <v>3.0734410767568634</v>
      </c>
      <c r="BA60" s="8"/>
      <c r="BB60" s="8" t="e">
        <f>'Financial assumptions'!#REF!/'Financial assumptions'!$AA5*'Estimated production costs'!$D60</f>
        <v>#REF!</v>
      </c>
      <c r="BC60" s="8" t="e">
        <f>'Financial assumptions'!#REF!/'Financial assumptions'!$AA5*'Estimated production costs'!$D60</f>
        <v>#REF!</v>
      </c>
      <c r="BD60" s="8">
        <f>'Financial assumptions'!BM5/'Financial assumptions'!$AA5*'Estimated production costs'!$D60</f>
        <v>3.267487513800536</v>
      </c>
      <c r="BE60" s="8">
        <f>'Financial assumptions'!BN5/'Financial assumptions'!$AA5*'Estimated production costs'!$D60</f>
        <v>3.267487513800536</v>
      </c>
      <c r="BF60" s="8">
        <f>'Financial assumptions'!BO5/'Financial assumptions'!$AA5*'Estimated production costs'!$D60</f>
        <v>3.267487513800536</v>
      </c>
      <c r="BG60" s="8">
        <f>'Financial assumptions'!BP5/'Financial assumptions'!$AA5*'Estimated production costs'!$D60</f>
        <v>3.267487513800536</v>
      </c>
      <c r="BH60" s="8">
        <f>'Financial assumptions'!BQ5/'Financial assumptions'!$AA5*'Estimated production costs'!$D60</f>
        <v>3.267487513800536</v>
      </c>
      <c r="BI60" s="8">
        <f>'Financial assumptions'!BR5/'Financial assumptions'!$AA5*'Estimated production costs'!$D60</f>
        <v>3.267487513800536</v>
      </c>
    </row>
    <row r="61" spans="1:61" ht="15">
      <c r="A61" s="9" t="s">
        <v>71</v>
      </c>
      <c r="B61" s="8">
        <v>128.81</v>
      </c>
      <c r="C61" s="8">
        <v>145.685</v>
      </c>
      <c r="D61" s="8">
        <v>157.62</v>
      </c>
      <c r="E61" s="8">
        <v>157.56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15">
      <c r="A62" s="9" t="s">
        <v>72</v>
      </c>
      <c r="B62" s="8">
        <v>83.59</v>
      </c>
      <c r="C62" s="8">
        <v>146.08666666666667</v>
      </c>
      <c r="D62" s="8">
        <v>161.46</v>
      </c>
      <c r="E62" s="76">
        <v>148.99656946826758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15">
      <c r="A63" s="9" t="s">
        <v>73</v>
      </c>
      <c r="B63" s="43">
        <v>19.304418</v>
      </c>
      <c r="C63" s="43">
        <v>2.7012995640000064</v>
      </c>
      <c r="D63" s="70">
        <v>6.06</v>
      </c>
      <c r="E63" s="75">
        <v>9.536667066895378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</row>
    <row r="64" spans="1:61" ht="15">
      <c r="A64" s="9" t="s">
        <v>74</v>
      </c>
      <c r="B64" s="8">
        <v>13.153390580529948</v>
      </c>
      <c r="C64" s="8">
        <v>17.503055197948303</v>
      </c>
      <c r="D64" s="69">
        <v>17.503055197948303</v>
      </c>
      <c r="E64" s="74">
        <v>12.469982847341338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15">
      <c r="A65" s="9"/>
      <c r="B65" s="15"/>
      <c r="C65" s="15"/>
      <c r="D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ht="15">
      <c r="A66" s="9" t="s">
        <v>75</v>
      </c>
      <c r="B66" s="10">
        <v>0.0751</v>
      </c>
      <c r="C66" s="10">
        <v>0.0666747311827957</v>
      </c>
      <c r="D66" s="10">
        <v>0.0633</v>
      </c>
      <c r="E66" s="10">
        <v>0.0633</v>
      </c>
      <c r="F66" s="10"/>
      <c r="G66" s="10">
        <f>'Financial assumptions'!O19/100</f>
        <v>0.075</v>
      </c>
      <c r="H66" s="10">
        <f>'Financial assumptions'!P19/100</f>
        <v>0.0725</v>
      </c>
      <c r="I66" s="10">
        <f>'Financial assumptions'!Q19/100</f>
        <v>0.0725</v>
      </c>
      <c r="J66" s="10">
        <f>'Financial assumptions'!R19/100</f>
        <v>0.07</v>
      </c>
      <c r="K66" s="10">
        <f>'Financial assumptions'!S19/100</f>
        <v>0.07</v>
      </c>
      <c r="L66" s="10">
        <f>'Financial assumptions'!T19/100</f>
        <v>0.07</v>
      </c>
      <c r="M66" s="10">
        <f>'Financial assumptions'!U19/100</f>
        <v>0.07</v>
      </c>
      <c r="N66" s="10">
        <f>'Financial assumptions'!V19/100</f>
        <v>0.07</v>
      </c>
      <c r="O66" s="10">
        <f>'Financial assumptions'!W19/100</f>
        <v>0.07</v>
      </c>
      <c r="P66" s="10">
        <f>'Financial assumptions'!X19/100</f>
        <v>0.06612903225806452</v>
      </c>
      <c r="Q66" s="10">
        <f>'Financial assumptions'!Y19/100</f>
        <v>0.053</v>
      </c>
      <c r="R66" s="10">
        <f>'Financial assumptions'!Z19/100</f>
        <v>0.04096774193548387</v>
      </c>
      <c r="S66" s="10">
        <f>'Financial assumptions'!AB19/100</f>
        <v>0.03612903225806451</v>
      </c>
      <c r="T66" s="10">
        <f>'Financial assumptions'!AC19/100</f>
        <v>0.03071428571428571</v>
      </c>
      <c r="U66" s="10">
        <f>'Financial assumptions'!AD19/100</f>
        <v>0.02564516129032258</v>
      </c>
      <c r="V66" s="10">
        <f>'Financial assumptions'!AE19/100</f>
        <v>0.025</v>
      </c>
      <c r="W66" s="10">
        <f>'Financial assumptions'!AF19/100</f>
        <v>0.025</v>
      </c>
      <c r="X66" s="10">
        <f>'Financial assumptions'!AG19/100</f>
        <v>0.025</v>
      </c>
      <c r="Y66" s="10">
        <f>'Financial assumptions'!AH19/100</f>
        <v>0.025</v>
      </c>
      <c r="Z66" s="10">
        <f>'Financial assumptions'!AI19/100</f>
        <v>0.025</v>
      </c>
      <c r="AA66" s="10">
        <f>'Financial assumptions'!AJ19/100</f>
        <v>0.025</v>
      </c>
      <c r="AB66" s="10">
        <f>'Financial assumptions'!AK19/100</f>
        <v>0.025</v>
      </c>
      <c r="AC66" s="10">
        <f>'Financial assumptions'!AL19/100</f>
        <v>0.025</v>
      </c>
      <c r="AD66" s="10">
        <f>'Financial assumptions'!AM19/100</f>
        <v>0.025</v>
      </c>
      <c r="AE66" s="10">
        <f>'Financial assumptions'!AO19/100</f>
        <v>0.0264573732718894</v>
      </c>
      <c r="AF66" s="10">
        <f>'Financial assumptions'!AP19/100</f>
        <v>0.025</v>
      </c>
      <c r="AG66" s="10">
        <f>'Financial assumptions'!AQ19/100</f>
        <v>0.025</v>
      </c>
      <c r="AH66" s="10">
        <f>'Financial assumptions'!AR19/100</f>
        <v>0.025</v>
      </c>
      <c r="AI66" s="10">
        <f>'Financial assumptions'!AS19/100</f>
        <v>0.025</v>
      </c>
      <c r="AJ66" s="10">
        <f>'Financial assumptions'!AT19/100</f>
        <v>0.025</v>
      </c>
      <c r="AK66" s="10">
        <f>'Financial assumptions'!AU19/100</f>
        <v>0.025</v>
      </c>
      <c r="AL66" s="10">
        <f>'Financial assumptions'!AV19/100</f>
        <v>0.025</v>
      </c>
      <c r="AM66" s="10">
        <f>'Financial assumptions'!AW19/100</f>
        <v>0.025</v>
      </c>
      <c r="AN66" s="10">
        <f>'Financial assumptions'!AX19/100</f>
        <v>0.025</v>
      </c>
      <c r="AO66" s="10">
        <f>'Financial assumptions'!AY19/100</f>
        <v>0.025</v>
      </c>
      <c r="AP66" s="10">
        <f>'Financial assumptions'!AZ19/100</f>
        <v>0.025</v>
      </c>
      <c r="AQ66" s="10">
        <f>'Financial assumptions'!BB19/100</f>
        <v>0.025</v>
      </c>
      <c r="AR66" s="10">
        <f>'Financial assumptions'!BC19/100</f>
        <v>0.025</v>
      </c>
      <c r="AS66" s="10">
        <f>'Financial assumptions'!BD19/100</f>
        <v>0.025</v>
      </c>
      <c r="AT66" s="10">
        <f>'Financial assumptions'!BE19/100</f>
        <v>0.025</v>
      </c>
      <c r="AU66" s="10">
        <f>'Financial assumptions'!BF19/100</f>
        <v>0.025</v>
      </c>
      <c r="AV66" s="10">
        <f>'Financial assumptions'!BG19/100</f>
        <v>0.025</v>
      </c>
      <c r="AW66" s="10">
        <f>'Financial assumptions'!BH19/100</f>
        <v>0.025</v>
      </c>
      <c r="AX66" s="10">
        <f>'Financial assumptions'!BI19/100</f>
        <v>0.025</v>
      </c>
      <c r="AY66" s="10">
        <f>'Financial assumptions'!BJ19/100</f>
        <v>0.025</v>
      </c>
      <c r="AZ66" s="10">
        <f>'Financial assumptions'!BK19/100</f>
        <v>0.025</v>
      </c>
      <c r="BA66" s="10"/>
      <c r="BB66" s="10" t="e">
        <f>'Financial assumptions'!#REF!/100</f>
        <v>#REF!</v>
      </c>
      <c r="BC66" s="10" t="e">
        <f>'Financial assumptions'!#REF!/100</f>
        <v>#REF!</v>
      </c>
      <c r="BD66" s="10">
        <f>'Financial assumptions'!BM19/100</f>
        <v>0.025</v>
      </c>
      <c r="BE66" s="10">
        <f>'Financial assumptions'!BN19/100</f>
        <v>0.025</v>
      </c>
      <c r="BF66" s="10">
        <f>'Financial assumptions'!BO19/100</f>
        <v>0.025</v>
      </c>
      <c r="BG66" s="10">
        <f>'Financial assumptions'!BP19/100</f>
        <v>0.025</v>
      </c>
      <c r="BH66" s="10">
        <f>'Financial assumptions'!BQ19/100</f>
        <v>0.025</v>
      </c>
      <c r="BI66" s="10">
        <f>'Financial assumptions'!BR19/100</f>
        <v>0.025</v>
      </c>
    </row>
    <row r="67" spans="1:61" ht="15">
      <c r="A67" s="9" t="s">
        <v>76</v>
      </c>
      <c r="B67" s="10">
        <v>0.0599</v>
      </c>
      <c r="C67" s="10">
        <v>0.058808333333333344</v>
      </c>
      <c r="D67" s="10">
        <v>0.0553</v>
      </c>
      <c r="E67" s="10">
        <v>0.0553</v>
      </c>
      <c r="F67" s="10"/>
      <c r="G67" s="10">
        <f>'Financial assumptions'!O21/100</f>
        <v>0.059000000000000004</v>
      </c>
      <c r="H67" s="10">
        <f>'Financial assumptions'!P21/100</f>
        <v>0.056799999999999996</v>
      </c>
      <c r="I67" s="10">
        <f>'Financial assumptions'!Q21/100</f>
        <v>0.057</v>
      </c>
      <c r="J67" s="10">
        <f>'Financial assumptions'!R21/100</f>
        <v>0.058499999999999996</v>
      </c>
      <c r="K67" s="10">
        <f>'Financial assumptions'!S21/100</f>
        <v>0.0611</v>
      </c>
      <c r="L67" s="10">
        <f>'Financial assumptions'!T21/100</f>
        <v>0.064</v>
      </c>
      <c r="M67" s="10">
        <f>'Financial assumptions'!U21/100</f>
        <v>0.0637</v>
      </c>
      <c r="N67" s="10">
        <f>'Financial assumptions'!V21/100</f>
        <v>0.060899999999999996</v>
      </c>
      <c r="O67" s="10">
        <f>'Financial assumptions'!W21/100</f>
        <v>0.0584</v>
      </c>
      <c r="P67" s="10">
        <f>'Financial assumptions'!X21/100</f>
        <v>0.0588</v>
      </c>
      <c r="Q67" s="10">
        <f>'Financial assumptions'!Y21/100</f>
        <v>0.0547</v>
      </c>
      <c r="R67" s="10">
        <f>'Financial assumptions'!Z21/100</f>
        <v>0.0528</v>
      </c>
      <c r="S67" s="10">
        <f>'Financial assumptions'!AB21/100</f>
        <v>0.049400000000000006</v>
      </c>
      <c r="T67" s="10">
        <f>'Financial assumptions'!AC21/100</f>
        <v>0.049699999999999994</v>
      </c>
      <c r="U67" s="10">
        <f>'Financial assumptions'!AD21/100</f>
        <v>0.0495</v>
      </c>
      <c r="V67" s="10">
        <f>'Financial assumptions'!AE21/100</f>
        <v>0.0487</v>
      </c>
      <c r="W67" s="10">
        <f>'Financial assumptions'!AF21/100</f>
        <v>0.0493</v>
      </c>
      <c r="X67" s="10">
        <f>'Financial assumptions'!AG21/100</f>
        <v>0.0554</v>
      </c>
      <c r="Y67" s="10">
        <f>'Financial assumptions'!AH21/100</f>
        <v>0.056799999999999996</v>
      </c>
      <c r="Z67" s="10">
        <f>'Financial assumptions'!AI21/100</f>
        <v>0.0572</v>
      </c>
      <c r="AA67" s="10">
        <f>'Financial assumptions'!AJ21/100</f>
        <v>0.056900000000000006</v>
      </c>
      <c r="AB67" s="10">
        <f>'Financial assumptions'!AK21/100</f>
        <v>0.0567</v>
      </c>
      <c r="AC67" s="10">
        <f>'Financial assumptions'!AL21/100</f>
        <v>0.0571</v>
      </c>
      <c r="AD67" s="10">
        <f>'Financial assumptions'!AM21/100</f>
        <v>0.0567</v>
      </c>
      <c r="AE67" s="10">
        <f>'Financial assumptions'!AO21/100</f>
        <v>0.05361666666666665</v>
      </c>
      <c r="AF67" s="10">
        <f>'Financial assumptions'!AP21/100</f>
        <v>0.0556</v>
      </c>
      <c r="AG67" s="10">
        <f>'Financial assumptions'!AQ21/100</f>
        <v>0.055</v>
      </c>
      <c r="AH67" s="10">
        <f>'Financial assumptions'!AR21/100</f>
        <v>0.055</v>
      </c>
      <c r="AI67" s="10">
        <f>'Financial assumptions'!AS21/100</f>
        <v>0.055</v>
      </c>
      <c r="AJ67" s="10">
        <f>'Financial assumptions'!AT21/100</f>
        <v>0.0538</v>
      </c>
      <c r="AK67" s="10">
        <f>'Financial assumptions'!AU21/100</f>
        <v>0.0535</v>
      </c>
      <c r="AL67" s="10">
        <f>'Financial assumptions'!AV21/100</f>
        <v>0.0524</v>
      </c>
      <c r="AM67" s="10">
        <f>'Financial assumptions'!AW21/100</f>
        <v>0.0507</v>
      </c>
      <c r="AN67" s="10">
        <f>'Financial assumptions'!AX21/100</f>
        <v>0.0504</v>
      </c>
      <c r="AO67" s="10">
        <f>'Financial assumptions'!AY21/100</f>
        <v>0.048600000000000004</v>
      </c>
      <c r="AP67" s="10">
        <f>'Financial assumptions'!AZ21/100</f>
        <v>0.0473</v>
      </c>
      <c r="AQ67" s="10">
        <f>'Financial assumptions'!BB21/100</f>
        <v>0.047599999999999996</v>
      </c>
      <c r="AR67" s="10">
        <f>'Financial assumptions'!BC21/100</f>
        <v>0.052075</v>
      </c>
      <c r="AS67" s="10">
        <f>'Financial assumptions'!BD21/100</f>
        <v>0.051</v>
      </c>
      <c r="AT67" s="10">
        <f>'Financial assumptions'!BE21/100</f>
        <v>0.051</v>
      </c>
      <c r="AU67" s="10">
        <f>'Financial assumptions'!BF21/100</f>
        <v>0.051</v>
      </c>
      <c r="AV67" s="10">
        <f>'Financial assumptions'!BG21/100</f>
        <v>0.051</v>
      </c>
      <c r="AW67" s="10">
        <f>'Financial assumptions'!BH21/100</f>
        <v>0.051</v>
      </c>
      <c r="AX67" s="10">
        <f>'Financial assumptions'!BI21/100</f>
        <v>0.051</v>
      </c>
      <c r="AY67" s="10">
        <f>'Financial assumptions'!BJ21/100</f>
        <v>0.051</v>
      </c>
      <c r="AZ67" s="10">
        <f>'Financial assumptions'!BK21/100</f>
        <v>0.051</v>
      </c>
      <c r="BA67" s="10"/>
      <c r="BB67" s="10" t="e">
        <f>'Financial assumptions'!#REF!/100</f>
        <v>#REF!</v>
      </c>
      <c r="BC67" s="10" t="e">
        <f>'Financial assumptions'!#REF!/100</f>
        <v>#REF!</v>
      </c>
      <c r="BD67" s="10">
        <f>'Financial assumptions'!BM21/100</f>
        <v>0.051</v>
      </c>
      <c r="BE67" s="10">
        <f>'Financial assumptions'!BN21/100</f>
        <v>0.051</v>
      </c>
      <c r="BF67" s="10">
        <f>'Financial assumptions'!BO21/100</f>
        <v>0.051</v>
      </c>
      <c r="BG67" s="10">
        <f>'Financial assumptions'!BP21/100</f>
        <v>0.051</v>
      </c>
      <c r="BH67" s="10">
        <f>'Financial assumptions'!BQ21/100</f>
        <v>0.051</v>
      </c>
      <c r="BI67" s="10">
        <f>'Financial assumptions'!BR21/100</f>
        <v>0.051</v>
      </c>
    </row>
    <row r="68" spans="1:58" ht="15">
      <c r="A68" s="9" t="s">
        <v>77</v>
      </c>
      <c r="B68" s="9">
        <v>10</v>
      </c>
      <c r="C68" s="9">
        <v>10</v>
      </c>
      <c r="D68" s="9">
        <v>10</v>
      </c>
      <c r="E68" s="9">
        <v>10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ht="15">
      <c r="A69" s="9" t="s">
        <v>78</v>
      </c>
      <c r="B69" s="9">
        <v>20</v>
      </c>
      <c r="C69" s="9">
        <v>20</v>
      </c>
      <c r="D69" s="9">
        <v>20</v>
      </c>
      <c r="E69" s="9">
        <v>20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ht="15">
      <c r="A71" s="9" t="s">
        <v>79</v>
      </c>
      <c r="B71" s="8">
        <v>1309.993155373032</v>
      </c>
      <c r="C71" s="8">
        <v>1310</v>
      </c>
      <c r="D71" s="8">
        <v>1313.926981300089</v>
      </c>
      <c r="E71" s="8">
        <v>1382.2511843276936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1:58" ht="15">
      <c r="A72" s="9" t="s">
        <v>80</v>
      </c>
      <c r="B72" s="8">
        <v>85.00342231348391</v>
      </c>
      <c r="C72" s="8">
        <v>94.0031274433151</v>
      </c>
      <c r="D72" s="8">
        <v>94.28317008014247</v>
      </c>
      <c r="E72" s="8">
        <v>99.18589492430988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t="15">
      <c r="A73" s="9" t="s">
        <v>81</v>
      </c>
      <c r="B73" s="8">
        <v>237.50171115674195</v>
      </c>
      <c r="C73" s="8">
        <v>259.98436278342456</v>
      </c>
      <c r="D73" s="8">
        <v>260.7658058771149</v>
      </c>
      <c r="E73" s="8">
        <v>274.32562778272484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1:58" ht="15">
      <c r="A74" s="9" t="s">
        <v>82</v>
      </c>
      <c r="B74" s="8">
        <v>21.944625715924673</v>
      </c>
      <c r="C74" s="8">
        <v>23.52463876747125</v>
      </c>
      <c r="D74" s="8">
        <v>23.477589489936307</v>
      </c>
      <c r="E74" s="8">
        <v>25.074065575251975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1:58" ht="15">
      <c r="A75" s="9" t="s">
        <v>83</v>
      </c>
      <c r="B75" s="8">
        <v>1.4021605526603333</v>
      </c>
      <c r="C75" s="8">
        <v>1.5031161124518773</v>
      </c>
      <c r="D75" s="8">
        <v>1.5001098802269734</v>
      </c>
      <c r="E75" s="8">
        <v>1.6021173520824077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1:58" ht="15">
      <c r="A76" s="9" t="s">
        <v>84</v>
      </c>
      <c r="B76" s="8">
        <v>3.333310775192814</v>
      </c>
      <c r="C76" s="8">
        <v>3.5733091510066965</v>
      </c>
      <c r="D76" s="8">
        <v>3.5661625327046838</v>
      </c>
      <c r="E76" s="8">
        <v>3.8086615849286023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1:58" ht="15">
      <c r="A77" s="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8" ht="15">
      <c r="A78" s="9" t="s">
        <v>85</v>
      </c>
      <c r="B78" s="8">
        <v>0.6376915196903874</v>
      </c>
      <c r="C78" s="8">
        <v>0.6343474072705614</v>
      </c>
      <c r="D78" s="8">
        <v>0.6343474072705614</v>
      </c>
      <c r="E78" s="8">
        <v>0.6343474072705614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1:58" ht="15">
      <c r="A79" s="9" t="s">
        <v>86</v>
      </c>
      <c r="B79" s="8">
        <v>0.2</v>
      </c>
      <c r="C79" s="8">
        <v>0.75</v>
      </c>
      <c r="D79" s="8">
        <v>0.75</v>
      </c>
      <c r="E79" s="8">
        <v>0.75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1:58" ht="15">
      <c r="A80" s="9" t="s">
        <v>87</v>
      </c>
      <c r="B80" s="8">
        <v>0.65</v>
      </c>
      <c r="C80" s="8">
        <v>0</v>
      </c>
      <c r="D80" s="8">
        <v>0</v>
      </c>
      <c r="E80" s="8"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1:58" ht="15">
      <c r="A81" s="9" t="s">
        <v>88</v>
      </c>
      <c r="B81" s="8">
        <v>0</v>
      </c>
      <c r="C81" s="8">
        <v>0</v>
      </c>
      <c r="D81" s="8">
        <v>0</v>
      </c>
      <c r="E81" s="8">
        <v>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1:58" ht="15">
      <c r="A82" s="9" t="s">
        <v>89</v>
      </c>
      <c r="B82" s="8">
        <v>0.78</v>
      </c>
      <c r="C82" s="8">
        <v>0.8525</v>
      </c>
      <c r="D82" s="8">
        <v>0.8525</v>
      </c>
      <c r="E82" s="8">
        <v>0.8525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1:5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61" ht="15">
      <c r="A84" s="9" t="s">
        <v>90</v>
      </c>
      <c r="B84" s="8">
        <v>0.9831609815541614</v>
      </c>
      <c r="C84" s="8">
        <v>1.18243937047468</v>
      </c>
      <c r="D84" s="8">
        <v>1.25</v>
      </c>
      <c r="E84" s="8">
        <v>1.25</v>
      </c>
      <c r="F84" s="8"/>
      <c r="G84" s="8">
        <f>'Financial assumptions'!O7/'Financial assumptions'!$N7*'Estimated production costs'!$B84</f>
        <v>1.0847215864023505</v>
      </c>
      <c r="H84" s="8">
        <f>'Financial assumptions'!P7/'Financial assumptions'!$N7*'Estimated production costs'!$B84</f>
        <v>1.0865324738587818</v>
      </c>
      <c r="I84" s="8">
        <f>'Financial assumptions'!Q7/'Financial assumptions'!$N7*'Estimated production costs'!$B84</f>
        <v>1.1127903419770357</v>
      </c>
      <c r="J84" s="8">
        <f>'Financial assumptions'!R7/'Financial assumptions'!$N7*'Estimated production costs'!$B84</f>
        <v>1.1372373226388581</v>
      </c>
      <c r="K84" s="8">
        <f>'Financial assumptions'!S7/'Financial assumptions'!$N7*'Estimated production costs'!$B84</f>
        <v>1.1834149527778564</v>
      </c>
      <c r="L84" s="8">
        <f>'Financial assumptions'!T7/'Financial assumptions'!$N7*'Estimated production costs'!$B84</f>
        <v>1.2413633513836582</v>
      </c>
      <c r="M84" s="8">
        <f>'Financial assumptions'!U7/'Financial assumptions'!$N7*'Estimated production costs'!$B84</f>
        <v>1.2549450073068928</v>
      </c>
      <c r="N84" s="8">
        <f>'Financial assumptions'!V7/'Financial assumptions'!$N7*'Estimated production costs'!$B84</f>
        <v>1.1960911649728756</v>
      </c>
      <c r="O84" s="8">
        <f>'Financial assumptions'!W7/'Financial assumptions'!$N7*'Estimated production costs'!$B84</f>
        <v>1.1779822904085626</v>
      </c>
      <c r="P84" s="8">
        <f>'Financial assumptions'!X7/'Financial assumptions'!$N7*'Estimated production costs'!$B84</f>
        <v>1.1055467921513105</v>
      </c>
      <c r="Q84" s="8">
        <f>'Financial assumptions'!Y7/'Financial assumptions'!$N7*'Estimated production costs'!$B84</f>
        <v>1.0140969756015297</v>
      </c>
      <c r="R84" s="8">
        <f>'Financial assumptions'!Z7/'Financial assumptions'!$N7*'Estimated production costs'!$B84</f>
        <v>0.9516213583546497</v>
      </c>
      <c r="S84" s="8">
        <f>'Financial assumptions'!AB7/'Financial assumptions'!$N7*'Estimated production costs'!$B84</f>
        <v>0.9253634902363959</v>
      </c>
      <c r="T84" s="8">
        <f>'Financial assumptions'!AC7/'Financial assumptions'!$N7*'Estimated production costs'!$B84</f>
        <v>0.9516213583546497</v>
      </c>
      <c r="U84" s="8">
        <f>'Financial assumptions'!AD7/'Financial assumptions'!$N7*'Estimated production costs'!$B84</f>
        <v>0.9534322458110811</v>
      </c>
      <c r="V84" s="8">
        <f>'Financial assumptions'!AE7/'Financial assumptions'!$N7*'Estimated production costs'!$B84</f>
        <v>0.9923663261243539</v>
      </c>
      <c r="W84" s="8">
        <f>'Financial assumptions'!AF7/'Financial assumptions'!$N7*'Estimated production costs'!$B84</f>
        <v>1.0150024193297453</v>
      </c>
      <c r="X84" s="8">
        <f>'Financial assumptions'!AG7/'Financial assumptions'!$N7*'Estimated production costs'!$B84</f>
        <v>1.0566528308276653</v>
      </c>
      <c r="Y84" s="8">
        <f>'Financial assumptions'!AH7/'Financial assumptions'!$AA7*'Estimated production costs'!$C84</f>
        <v>1.1086999190574705</v>
      </c>
      <c r="Z84" s="8">
        <f>'Financial assumptions'!AI7/'Financial assumptions'!$AA7*'Estimated production costs'!$C84</f>
        <v>1.1248230145441915</v>
      </c>
      <c r="AA84" s="8">
        <f>'Financial assumptions'!AJ7/'Financial assumptions'!$AA7*'Estimated production costs'!$C84</f>
        <v>1.1485334490834873</v>
      </c>
      <c r="AB84" s="8">
        <f>'Financial assumptions'!AK7/'Financial assumptions'!$AA7*'Estimated production costs'!$C84</f>
        <v>1.1447397795572</v>
      </c>
      <c r="AC84" s="8">
        <f>'Financial assumptions'!AL7/'Financial assumptions'!$AA7*'Estimated production costs'!$C84</f>
        <v>1.1760375531490705</v>
      </c>
      <c r="AD84" s="8">
        <f>'Financial assumptions'!AM7/'Financial assumptions'!$AA7*'Estimated production costs'!$C84</f>
        <v>1.1798312226753578</v>
      </c>
      <c r="AE84" s="8">
        <f>'Financial assumptions'!AO7/'Financial assumptions'!$AA7*'Estimated production costs'!$C84</f>
        <v>1.0880718410082835</v>
      </c>
      <c r="AF84" s="8">
        <f>'Financial assumptions'!AP7/'Financial assumptions'!$AA7*'Estimated production costs'!$C84</f>
        <v>1.2168195005566593</v>
      </c>
      <c r="AG84" s="8">
        <f>'Financial assumptions'!AQ7/'Financial assumptions'!$AA7*'Estimated production costs'!$C84</f>
        <v>1.218716335319803</v>
      </c>
      <c r="AH84" s="8">
        <f>'Financial assumptions'!AR7/'Financial assumptions'!$AA7*'Estimated production costs'!$C84</f>
        <v>1.2538077784379604</v>
      </c>
      <c r="AI84" s="8">
        <f>'Financial assumptions'!AS7/'Financial assumptions'!$AA7*'Estimated production costs'!$C84</f>
        <v>1.308815986569127</v>
      </c>
      <c r="AJ84" s="8">
        <f>'Financial assumptions'!AT7/'Financial assumptions'!$AA7*'Estimated production costs'!$C84</f>
        <v>1.313558073476986</v>
      </c>
      <c r="AK84" s="8">
        <f>'Financial assumptions'!AU7/'Financial assumptions'!$AA7*'Estimated production costs'!$D84</f>
        <v>1.3605373972328056</v>
      </c>
      <c r="AL84" s="8">
        <f>'Financial assumptions'!AV7/'Financial assumptions'!$AA7*'Estimated production costs'!$D84</f>
        <v>1.3515139362342095</v>
      </c>
      <c r="AM84" s="8">
        <f>'Financial assumptions'!AW7/'Financial assumptions'!$AA7*'Estimated production costs'!$D84</f>
        <v>1.3384800481251258</v>
      </c>
      <c r="AN84" s="8">
        <f>'Financial assumptions'!AX7/'Financial assumptions'!$AA7*'Estimated production costs'!$D84</f>
        <v>1.3274513735712856</v>
      </c>
      <c r="AO84" s="8">
        <f>'Financial assumptions'!AY7/'Financial assumptions'!$AA7*'Estimated production costs'!$D84</f>
        <v>1.353519149789453</v>
      </c>
      <c r="AP84" s="8">
        <f>'Financial assumptions'!AZ7/'Financial assumptions'!$AA7*'Estimated production costs'!$D84</f>
        <v>1.3765791056747547</v>
      </c>
      <c r="AQ84" s="8">
        <f>'Financial assumptions'!BB7/'Financial assumptions'!$AA7*'Estimated production costs'!$D84</f>
        <v>1.4277120513334673</v>
      </c>
      <c r="AR84" s="8">
        <f>'Financial assumptions'!BC7/'Financial assumptions'!$AA7*'Estimated production costs'!$D84</f>
        <v>1.350678430586191</v>
      </c>
      <c r="AS84" s="8">
        <f>'Financial assumptions'!BD7/'Financial assumptions'!$AA7*'Estimated production costs'!$D84</f>
        <v>1.5299779426508928</v>
      </c>
      <c r="AT84" s="8">
        <f>'Financial assumptions'!BE7/'Financial assumptions'!$AA7*'Estimated production costs'!$D84</f>
        <v>1.5540405053138162</v>
      </c>
      <c r="AU84" s="8">
        <f>'Financial assumptions'!BF7/'Financial assumptions'!$AA7*'Estimated production costs'!$D84</f>
        <v>1.5740926408662526</v>
      </c>
      <c r="AV84" s="8">
        <f>'Financial assumptions'!BG7/'Financial assumptions'!$AA7*'Estimated production costs'!$D84</f>
        <v>1.5630639663124126</v>
      </c>
      <c r="AW84" s="8">
        <f>'Financial assumptions'!BH7/'Financial assumptions'!$AA7*'Estimated production costs'!$D84</f>
        <v>1.5630639663124126</v>
      </c>
      <c r="AX84" s="8">
        <f>'Financial assumptions'!BI7/'Financial assumptions'!$AA7*'Estimated production costs'!$D84</f>
        <v>1.5630639663124126</v>
      </c>
      <c r="AY84" s="8">
        <f>'Financial assumptions'!BJ7/'Financial assumptions'!$BA7*'Estimated production costs'!$E84</f>
        <v>1.4613653885488618</v>
      </c>
      <c r="AZ84" s="8">
        <f>'Financial assumptions'!BK7/'Financial assumptions'!$BA7*'Estimated production costs'!$E84</f>
        <v>1.4811901128121217</v>
      </c>
      <c r="BA84" s="8"/>
      <c r="BB84" s="8" t="e">
        <f>'Financial assumptions'!#REF!/'Financial assumptions'!$AA7*'Estimated production costs'!$D84</f>
        <v>#REF!</v>
      </c>
      <c r="BC84" s="8" t="e">
        <f>'Financial assumptions'!#REF!/'Financial assumptions'!$AA7*'Estimated production costs'!$D84</f>
        <v>#REF!</v>
      </c>
      <c r="BD84" s="8">
        <f>'Financial assumptions'!BM7/'Financial assumptions'!$AA7*'Estimated production costs'!$D84</f>
        <v>1.5740926408662526</v>
      </c>
      <c r="BE84" s="8">
        <f>'Financial assumptions'!BN7/'Financial assumptions'!$AA7*'Estimated production costs'!$D84</f>
        <v>1.5740926408662526</v>
      </c>
      <c r="BF84" s="8">
        <f>'Financial assumptions'!BO7/'Financial assumptions'!$AA7*'Estimated production costs'!$D84</f>
        <v>1.5740926408662526</v>
      </c>
      <c r="BG84" s="8">
        <f>'Financial assumptions'!BP7/'Financial assumptions'!$AA7*'Estimated production costs'!$D84</f>
        <v>1.5740926408662526</v>
      </c>
      <c r="BH84" s="8">
        <f>'Financial assumptions'!BQ7/'Financial assumptions'!$AA7*'Estimated production costs'!$D84</f>
        <v>1.5740926408662526</v>
      </c>
      <c r="BI84" s="8">
        <f>'Financial assumptions'!BR7/'Financial assumptions'!$AA7*'Estimated production costs'!$D84</f>
        <v>1.5740926408662526</v>
      </c>
    </row>
    <row r="85" spans="1:61" ht="15">
      <c r="A85" s="9" t="s">
        <v>91</v>
      </c>
      <c r="B85" s="44">
        <v>0.25</v>
      </c>
      <c r="C85" s="44">
        <v>0.25</v>
      </c>
      <c r="D85" s="44">
        <v>0.25</v>
      </c>
      <c r="E85" s="44">
        <v>0.25</v>
      </c>
      <c r="F85" s="44"/>
      <c r="G85" s="44">
        <f aca="true" t="shared" si="0" ref="G85:X85">$B85</f>
        <v>0.25</v>
      </c>
      <c r="H85" s="44">
        <f t="shared" si="0"/>
        <v>0.25</v>
      </c>
      <c r="I85" s="44">
        <f t="shared" si="0"/>
        <v>0.25</v>
      </c>
      <c r="J85" s="44">
        <f t="shared" si="0"/>
        <v>0.25</v>
      </c>
      <c r="K85" s="44">
        <f t="shared" si="0"/>
        <v>0.25</v>
      </c>
      <c r="L85" s="44">
        <f t="shared" si="0"/>
        <v>0.25</v>
      </c>
      <c r="M85" s="44">
        <f t="shared" si="0"/>
        <v>0.25</v>
      </c>
      <c r="N85" s="44">
        <f t="shared" si="0"/>
        <v>0.25</v>
      </c>
      <c r="O85" s="44">
        <f t="shared" si="0"/>
        <v>0.25</v>
      </c>
      <c r="P85" s="44">
        <f t="shared" si="0"/>
        <v>0.25</v>
      </c>
      <c r="Q85" s="44">
        <f t="shared" si="0"/>
        <v>0.25</v>
      </c>
      <c r="R85" s="44">
        <f t="shared" si="0"/>
        <v>0.25</v>
      </c>
      <c r="S85" s="44">
        <f t="shared" si="0"/>
        <v>0.25</v>
      </c>
      <c r="T85" s="44">
        <f t="shared" si="0"/>
        <v>0.25</v>
      </c>
      <c r="U85" s="44">
        <f t="shared" si="0"/>
        <v>0.25</v>
      </c>
      <c r="V85" s="44">
        <f t="shared" si="0"/>
        <v>0.25</v>
      </c>
      <c r="W85" s="44">
        <f t="shared" si="0"/>
        <v>0.25</v>
      </c>
      <c r="X85" s="44">
        <f t="shared" si="0"/>
        <v>0.25</v>
      </c>
      <c r="Y85" s="44">
        <f aca="true" t="shared" si="1" ref="Y85:AJ85">$C85</f>
        <v>0.25</v>
      </c>
      <c r="Z85" s="44">
        <f t="shared" si="1"/>
        <v>0.25</v>
      </c>
      <c r="AA85" s="44">
        <f t="shared" si="1"/>
        <v>0.25</v>
      </c>
      <c r="AB85" s="44">
        <f t="shared" si="1"/>
        <v>0.25</v>
      </c>
      <c r="AC85" s="44">
        <f t="shared" si="1"/>
        <v>0.25</v>
      </c>
      <c r="AD85" s="44">
        <f t="shared" si="1"/>
        <v>0.25</v>
      </c>
      <c r="AE85" s="44">
        <f t="shared" si="1"/>
        <v>0.25</v>
      </c>
      <c r="AF85" s="44">
        <f t="shared" si="1"/>
        <v>0.25</v>
      </c>
      <c r="AG85" s="44">
        <f t="shared" si="1"/>
        <v>0.25</v>
      </c>
      <c r="AH85" s="44">
        <f t="shared" si="1"/>
        <v>0.25</v>
      </c>
      <c r="AI85" s="44">
        <f t="shared" si="1"/>
        <v>0.25</v>
      </c>
      <c r="AJ85" s="44">
        <f t="shared" si="1"/>
        <v>0.25</v>
      </c>
      <c r="AK85" s="44">
        <f aca="true" t="shared" si="2" ref="AK85:AX85">$D85</f>
        <v>0.25</v>
      </c>
      <c r="AL85" s="44">
        <f t="shared" si="2"/>
        <v>0.25</v>
      </c>
      <c r="AM85" s="44">
        <f t="shared" si="2"/>
        <v>0.25</v>
      </c>
      <c r="AN85" s="44">
        <f t="shared" si="2"/>
        <v>0.25</v>
      </c>
      <c r="AO85" s="44">
        <f t="shared" si="2"/>
        <v>0.25</v>
      </c>
      <c r="AP85" s="44">
        <f t="shared" si="2"/>
        <v>0.25</v>
      </c>
      <c r="AQ85" s="44">
        <f t="shared" si="2"/>
        <v>0.25</v>
      </c>
      <c r="AR85" s="44">
        <f t="shared" si="2"/>
        <v>0.25</v>
      </c>
      <c r="AS85" s="44">
        <f t="shared" si="2"/>
        <v>0.25</v>
      </c>
      <c r="AT85" s="44">
        <f t="shared" si="2"/>
        <v>0.25</v>
      </c>
      <c r="AU85" s="44">
        <f t="shared" si="2"/>
        <v>0.25</v>
      </c>
      <c r="AV85" s="44">
        <f t="shared" si="2"/>
        <v>0.25</v>
      </c>
      <c r="AW85" s="44">
        <f t="shared" si="2"/>
        <v>0.25</v>
      </c>
      <c r="AX85" s="44">
        <f t="shared" si="2"/>
        <v>0.25</v>
      </c>
      <c r="AY85" s="44">
        <f>$E85</f>
        <v>0.25</v>
      </c>
      <c r="AZ85" s="44">
        <f>$E85</f>
        <v>0.25</v>
      </c>
      <c r="BA85" s="44"/>
      <c r="BB85" s="44">
        <f aca="true" t="shared" si="3" ref="BB85:BI85">$D85</f>
        <v>0.25</v>
      </c>
      <c r="BC85" s="44">
        <f t="shared" si="3"/>
        <v>0.25</v>
      </c>
      <c r="BD85" s="44">
        <f t="shared" si="3"/>
        <v>0.25</v>
      </c>
      <c r="BE85" s="44">
        <f t="shared" si="3"/>
        <v>0.25</v>
      </c>
      <c r="BF85" s="44">
        <f t="shared" si="3"/>
        <v>0.25</v>
      </c>
      <c r="BG85" s="44">
        <f t="shared" si="3"/>
        <v>0.25</v>
      </c>
      <c r="BH85" s="44">
        <f t="shared" si="3"/>
        <v>0.25</v>
      </c>
      <c r="BI85" s="44">
        <f t="shared" si="3"/>
        <v>0.25</v>
      </c>
    </row>
    <row r="86" spans="1:61" ht="15">
      <c r="A86" s="9" t="s">
        <v>92</v>
      </c>
      <c r="B86" s="45">
        <v>0.25712117570095205</v>
      </c>
      <c r="C86" s="45">
        <v>0.3053649674250861</v>
      </c>
      <c r="D86" s="45">
        <v>0.32</v>
      </c>
      <c r="E86" s="45">
        <v>0.32</v>
      </c>
      <c r="F86" s="45"/>
      <c r="G86" s="45">
        <f aca="true" t="shared" si="4" ref="G86:AY86">G84*G85</f>
        <v>0.2711803966005876</v>
      </c>
      <c r="H86" s="45">
        <f t="shared" si="4"/>
        <v>0.27163311846469546</v>
      </c>
      <c r="I86" s="45">
        <f t="shared" si="4"/>
        <v>0.27819758549425894</v>
      </c>
      <c r="J86" s="45">
        <f t="shared" si="4"/>
        <v>0.28430933065971453</v>
      </c>
      <c r="K86" s="45">
        <f t="shared" si="4"/>
        <v>0.2958537381944641</v>
      </c>
      <c r="L86" s="45">
        <f t="shared" si="4"/>
        <v>0.31034083784591454</v>
      </c>
      <c r="M86" s="45">
        <f t="shared" si="4"/>
        <v>0.3137362518267232</v>
      </c>
      <c r="N86" s="45">
        <f t="shared" si="4"/>
        <v>0.2990227912432189</v>
      </c>
      <c r="O86" s="45">
        <f t="shared" si="4"/>
        <v>0.29449557260214065</v>
      </c>
      <c r="P86" s="45">
        <f t="shared" si="4"/>
        <v>0.2763866980378276</v>
      </c>
      <c r="Q86" s="45">
        <f t="shared" si="4"/>
        <v>0.2535242439003824</v>
      </c>
      <c r="R86" s="45">
        <f t="shared" si="4"/>
        <v>0.23790533958866242</v>
      </c>
      <c r="S86" s="45">
        <f t="shared" si="4"/>
        <v>0.23134087255909896</v>
      </c>
      <c r="T86" s="45">
        <f t="shared" si="4"/>
        <v>0.23790533958866242</v>
      </c>
      <c r="U86" s="45">
        <f t="shared" si="4"/>
        <v>0.23835806145277028</v>
      </c>
      <c r="V86" s="45">
        <f t="shared" si="4"/>
        <v>0.24809158153108848</v>
      </c>
      <c r="W86" s="45">
        <f t="shared" si="4"/>
        <v>0.25375060483243633</v>
      </c>
      <c r="X86" s="45">
        <f t="shared" si="4"/>
        <v>0.2641632077069163</v>
      </c>
      <c r="Y86" s="45">
        <f t="shared" si="4"/>
        <v>0.2771749797643676</v>
      </c>
      <c r="Z86" s="45">
        <f t="shared" si="4"/>
        <v>0.2812057536360479</v>
      </c>
      <c r="AA86" s="45">
        <f t="shared" si="4"/>
        <v>0.28713336227087183</v>
      </c>
      <c r="AB86" s="45">
        <f t="shared" si="4"/>
        <v>0.2861849448893</v>
      </c>
      <c r="AC86" s="45">
        <f t="shared" si="4"/>
        <v>0.29400938828726764</v>
      </c>
      <c r="AD86" s="45">
        <f t="shared" si="4"/>
        <v>0.29495780566883945</v>
      </c>
      <c r="AE86" s="45">
        <f t="shared" si="4"/>
        <v>0.27201796025207087</v>
      </c>
      <c r="AF86" s="45">
        <f t="shared" si="4"/>
        <v>0.30420487513916483</v>
      </c>
      <c r="AG86" s="45">
        <f t="shared" si="4"/>
        <v>0.30467908382995074</v>
      </c>
      <c r="AH86" s="45">
        <f t="shared" si="4"/>
        <v>0.3134519446094901</v>
      </c>
      <c r="AI86" s="45">
        <f t="shared" si="4"/>
        <v>0.3272039966422817</v>
      </c>
      <c r="AJ86" s="45">
        <f t="shared" si="4"/>
        <v>0.3283895183692465</v>
      </c>
      <c r="AK86" s="45">
        <f t="shared" si="4"/>
        <v>0.3401343493082014</v>
      </c>
      <c r="AL86" s="45">
        <f t="shared" si="4"/>
        <v>0.33787848405855236</v>
      </c>
      <c r="AM86" s="45">
        <f t="shared" si="4"/>
        <v>0.33462001203128144</v>
      </c>
      <c r="AN86" s="45">
        <f t="shared" si="4"/>
        <v>0.3318628433928214</v>
      </c>
      <c r="AO86" s="45">
        <f t="shared" si="4"/>
        <v>0.33837978744736324</v>
      </c>
      <c r="AP86" s="45">
        <f t="shared" si="4"/>
        <v>0.3441447764186887</v>
      </c>
      <c r="AQ86" s="45">
        <f t="shared" si="4"/>
        <v>0.35692801283336684</v>
      </c>
      <c r="AR86" s="45">
        <f t="shared" si="4"/>
        <v>0.33766960764654774</v>
      </c>
      <c r="AS86" s="45">
        <f t="shared" si="4"/>
        <v>0.3824944856627232</v>
      </c>
      <c r="AT86" s="45">
        <f t="shared" si="4"/>
        <v>0.38851012632845405</v>
      </c>
      <c r="AU86" s="45">
        <f t="shared" si="4"/>
        <v>0.39352316021656314</v>
      </c>
      <c r="AV86" s="45">
        <f t="shared" si="4"/>
        <v>0.39076599157810316</v>
      </c>
      <c r="AW86" s="45">
        <f t="shared" si="4"/>
        <v>0.39076599157810316</v>
      </c>
      <c r="AX86" s="45">
        <f t="shared" si="4"/>
        <v>0.39076599157810316</v>
      </c>
      <c r="AY86" s="45">
        <f t="shared" si="4"/>
        <v>0.36534134713721544</v>
      </c>
      <c r="AZ86" s="45">
        <f>AZ84*AZ85</f>
        <v>0.3702975282030304</v>
      </c>
      <c r="BA86" s="45"/>
      <c r="BB86" s="45" t="e">
        <f aca="true" t="shared" si="5" ref="BB86:BI86">BB84*BB85</f>
        <v>#REF!</v>
      </c>
      <c r="BC86" s="45" t="e">
        <f t="shared" si="5"/>
        <v>#REF!</v>
      </c>
      <c r="BD86" s="45">
        <f t="shared" si="5"/>
        <v>0.39352316021656314</v>
      </c>
      <c r="BE86" s="45">
        <f t="shared" si="5"/>
        <v>0.39352316021656314</v>
      </c>
      <c r="BF86" s="45">
        <f t="shared" si="5"/>
        <v>0.39352316021656314</v>
      </c>
      <c r="BG86" s="45">
        <f t="shared" si="5"/>
        <v>0.39352316021656314</v>
      </c>
      <c r="BH86" s="45">
        <f t="shared" si="5"/>
        <v>0.39352316021656314</v>
      </c>
      <c r="BI86" s="45">
        <f t="shared" si="5"/>
        <v>0.39352316021656314</v>
      </c>
    </row>
    <row r="87" spans="1:61" ht="15">
      <c r="A87" s="9" t="s">
        <v>93</v>
      </c>
      <c r="B87" s="15">
        <v>1.64</v>
      </c>
      <c r="C87" s="15">
        <v>2.081301018142539</v>
      </c>
      <c r="D87" s="15">
        <v>2.19</v>
      </c>
      <c r="E87" s="15">
        <v>2.19</v>
      </c>
      <c r="F87" s="8"/>
      <c r="G87" s="8">
        <f>'Financial assumptions'!O7/'Financial assumptions'!$N7*'Estimated production costs'!$B87</f>
        <v>1.8094121258633924</v>
      </c>
      <c r="H87" s="8">
        <f>'Financial assumptions'!P7/'Financial assumptions'!$N7*'Estimated production costs'!$B87</f>
        <v>1.8124328472755182</v>
      </c>
      <c r="I87" s="8">
        <f>'Financial assumptions'!Q7/'Financial assumptions'!$N7*'Estimated production costs'!$B87</f>
        <v>1.8562333077513433</v>
      </c>
      <c r="J87" s="8">
        <f>'Financial assumptions'!R7/'Financial assumptions'!$N7*'Estimated production costs'!$B87</f>
        <v>1.8970130468150423</v>
      </c>
      <c r="K87" s="8">
        <f>'Financial assumptions'!S7/'Financial assumptions'!$N7*'Estimated production costs'!$B87</f>
        <v>1.9740414428242519</v>
      </c>
      <c r="L87" s="8">
        <f>'Financial assumptions'!T7/'Financial assumptions'!$N7*'Estimated production costs'!$B87</f>
        <v>2.0707045280122793</v>
      </c>
      <c r="M87" s="8">
        <f>'Financial assumptions'!U7/'Financial assumptions'!$N7*'Estimated production costs'!$B87</f>
        <v>2.0933599386032236</v>
      </c>
      <c r="N87" s="8">
        <f>'Financial assumptions'!V7/'Financial assumptions'!$N7*'Estimated production costs'!$B87</f>
        <v>1.995186492709133</v>
      </c>
      <c r="O87" s="8">
        <f>'Financial assumptions'!W7/'Financial assumptions'!$N7*'Estimated production costs'!$B87</f>
        <v>1.9649792785878744</v>
      </c>
      <c r="P87" s="8">
        <f>'Financial assumptions'!X7/'Financial assumptions'!$N7*'Estimated production costs'!$B87</f>
        <v>1.8441504221028397</v>
      </c>
      <c r="Q87" s="8">
        <f>'Financial assumptions'!Y7/'Financial assumptions'!$N7*'Estimated production costs'!$B87</f>
        <v>1.6916039907904836</v>
      </c>
      <c r="R87" s="8">
        <f>'Financial assumptions'!Z7/'Financial assumptions'!$N7*'Estimated production costs'!$B87</f>
        <v>1.5873891020721413</v>
      </c>
      <c r="S87" s="8">
        <f>'Financial assumptions'!AB7/'Financial assumptions'!$N7*'Estimated production costs'!$B87</f>
        <v>1.5435886415963163</v>
      </c>
      <c r="T87" s="8">
        <f>'Financial assumptions'!AC7/'Financial assumptions'!$N7*'Estimated production costs'!$B87</f>
        <v>1.5873891020721413</v>
      </c>
      <c r="U87" s="8">
        <f>'Financial assumptions'!AD7/'Financial assumptions'!$N7*'Estimated production costs'!$B87</f>
        <v>1.5904098234842672</v>
      </c>
      <c r="V87" s="8">
        <f>'Financial assumptions'!AE7/'Financial assumptions'!$N7*'Estimated production costs'!$B87</f>
        <v>1.6553553338449731</v>
      </c>
      <c r="W87" s="8">
        <f>'Financial assumptions'!AF7/'Financial assumptions'!$N7*'Estimated production costs'!$B87</f>
        <v>1.6931143514965465</v>
      </c>
      <c r="X87" s="8">
        <f>'Financial assumptions'!AG7/'Financial assumptions'!$N7*'Estimated production costs'!$B87</f>
        <v>1.7625909439754415</v>
      </c>
      <c r="Y87" s="8">
        <f>'Financial assumptions'!AH7/'Financial assumptions'!$AA7*'Estimated production costs'!$C87</f>
        <v>1.9515066294033516</v>
      </c>
      <c r="Z87" s="8">
        <f>'Financial assumptions'!AI7/'Financial assumptions'!$AA7*'Estimated production costs'!$C87</f>
        <v>1.9798861098993796</v>
      </c>
      <c r="AA87" s="8">
        <f>'Financial assumptions'!AJ7/'Financial assumptions'!$AA7*'Estimated production costs'!$C87</f>
        <v>2.021620640040598</v>
      </c>
      <c r="AB87" s="8">
        <f>'Financial assumptions'!AK7/'Financial assumptions'!$AA7*'Estimated production costs'!$C87</f>
        <v>2.014943115218003</v>
      </c>
      <c r="AC87" s="8">
        <f>'Financial assumptions'!AL7/'Financial assumptions'!$AA7*'Estimated production costs'!$C87</f>
        <v>2.0700326950044103</v>
      </c>
      <c r="AD87" s="8">
        <f>'Financial assumptions'!AM7/'Financial assumptions'!$AA7*'Estimated production costs'!$C87</f>
        <v>2.0767102198270053</v>
      </c>
      <c r="AE87" s="8">
        <f>'Financial assumptions'!AO7/'Financial assumptions'!$AA7*'Estimated production costs'!$C87</f>
        <v>1.9151975881804923</v>
      </c>
      <c r="AF87" s="8">
        <f>'Financial assumptions'!AP7/'Financial assumptions'!$AA7*'Estimated production costs'!$C87</f>
        <v>2.1418160868473053</v>
      </c>
      <c r="AG87" s="8">
        <f>'Financial assumptions'!AQ7/'Financial assumptions'!$AA7*'Estimated production costs'!$C87</f>
        <v>2.1451548492586032</v>
      </c>
      <c r="AH87" s="8">
        <f>'Financial assumptions'!AR7/'Financial assumptions'!$AA7*'Estimated production costs'!$C87</f>
        <v>2.2069219538676053</v>
      </c>
      <c r="AI87" s="8">
        <f>'Financial assumptions'!AS7/'Financial assumptions'!$AA7*'Estimated production costs'!$C87</f>
        <v>2.303746063795231</v>
      </c>
      <c r="AJ87" s="8">
        <f>'Financial assumptions'!AT7/'Financial assumptions'!$AA7*'Estimated production costs'!$C87</f>
        <v>2.312092969823475</v>
      </c>
      <c r="AK87" s="8">
        <f>'Financial assumptions'!AU7/'Financial assumptions'!$AA7*'Estimated production costs'!$D87</f>
        <v>2.3836615199518754</v>
      </c>
      <c r="AL87" s="8">
        <f>'Financial assumptions'!AV7/'Financial assumptions'!$AA7*'Estimated production costs'!$D87</f>
        <v>2.367852416282335</v>
      </c>
      <c r="AM87" s="8">
        <f>'Financial assumptions'!AW7/'Financial assumptions'!$AA7*'Estimated production costs'!$D87</f>
        <v>2.3450170443152203</v>
      </c>
      <c r="AN87" s="8">
        <f>'Financial assumptions'!AX7/'Financial assumptions'!$AA7*'Estimated production costs'!$D87</f>
        <v>2.3256948064968923</v>
      </c>
      <c r="AO87" s="8">
        <f>'Financial assumptions'!AY7/'Financial assumptions'!$AA7*'Estimated production costs'!$D87</f>
        <v>2.3713655504311215</v>
      </c>
      <c r="AP87" s="8">
        <f>'Financial assumptions'!AZ7/'Financial assumptions'!$AA7*'Estimated production costs'!$D87</f>
        <v>2.41176659314217</v>
      </c>
      <c r="AQ87" s="8">
        <f>'Financial assumptions'!BB7/'Financial assumptions'!$AA7*'Estimated production costs'!$D87</f>
        <v>2.5013515139362346</v>
      </c>
      <c r="AR87" s="8">
        <f>'Financial assumptions'!BC7/'Financial assumptions'!$AA7*'Estimated production costs'!$D87</f>
        <v>2.3663886103870064</v>
      </c>
      <c r="AS87" s="8">
        <f>'Financial assumptions'!BD7/'Financial assumptions'!$AA7*'Estimated production costs'!$D87</f>
        <v>2.680521355524364</v>
      </c>
      <c r="AT87" s="8">
        <f>'Financial assumptions'!BE7/'Financial assumptions'!$AA7*'Estimated production costs'!$D87</f>
        <v>2.722678965309806</v>
      </c>
      <c r="AU87" s="8">
        <f>'Financial assumptions'!BF7/'Financial assumptions'!$AA7*'Estimated production costs'!$D87</f>
        <v>2.7578103067976745</v>
      </c>
      <c r="AV87" s="8">
        <f>'Financial assumptions'!BG7/'Financial assumptions'!$AA7*'Estimated production costs'!$D87</f>
        <v>2.738488068979347</v>
      </c>
      <c r="AW87" s="8">
        <f>'Financial assumptions'!BH7/'Financial assumptions'!$AA7*'Estimated production costs'!$D87</f>
        <v>2.738488068979347</v>
      </c>
      <c r="AX87" s="8">
        <f>'Financial assumptions'!BI7/'Financial assumptions'!$AA7*'Estimated production costs'!$D87</f>
        <v>2.738488068979347</v>
      </c>
      <c r="AY87" s="8">
        <f>'Financial assumptions'!BJ7/'Financial assumptions'!$BA7*'Estimated production costs'!$E87</f>
        <v>2.5603121607376056</v>
      </c>
      <c r="AZ87" s="8">
        <f>'Financial assumptions'!BK7/'Financial assumptions'!$BA7*'Estimated production costs'!$E87</f>
        <v>2.595045077646837</v>
      </c>
      <c r="BA87" s="8"/>
      <c r="BB87" s="8" t="e">
        <f>'Financial assumptions'!#REF!/'Financial assumptions'!$AA7*'Estimated production costs'!$D87</f>
        <v>#REF!</v>
      </c>
      <c r="BC87" s="8" t="e">
        <f>'Financial assumptions'!#REF!/'Financial assumptions'!$AA7*'Estimated production costs'!$D87</f>
        <v>#REF!</v>
      </c>
      <c r="BD87" s="8">
        <f>'Financial assumptions'!BM7/'Financial assumptions'!$AA7*'Estimated production costs'!$D87</f>
        <v>2.7578103067976745</v>
      </c>
      <c r="BE87" s="8">
        <f>'Financial assumptions'!BN7/'Financial assumptions'!$AA7*'Estimated production costs'!$D87</f>
        <v>2.7578103067976745</v>
      </c>
      <c r="BF87" s="8">
        <f>'Financial assumptions'!BO7/'Financial assumptions'!$AA7*'Estimated production costs'!$D87</f>
        <v>2.7578103067976745</v>
      </c>
      <c r="BG87" s="8">
        <f>'Financial assumptions'!BP7/'Financial assumptions'!$AA7*'Estimated production costs'!$D87</f>
        <v>2.7578103067976745</v>
      </c>
      <c r="BH87" s="8">
        <f>'Financial assumptions'!BQ7/'Financial assumptions'!$AA7*'Estimated production costs'!$D87</f>
        <v>2.7578103067976745</v>
      </c>
      <c r="BI87" s="8">
        <f>'Financial assumptions'!BR7/'Financial assumptions'!$AA7*'Estimated production costs'!$D87</f>
        <v>2.7578103067976745</v>
      </c>
    </row>
    <row r="88" spans="1:5" ht="15">
      <c r="A88" s="9"/>
      <c r="B88" s="15"/>
      <c r="C88" s="15"/>
      <c r="D88" s="15"/>
      <c r="E88" s="15"/>
    </row>
    <row r="89" spans="1:58" ht="15">
      <c r="A89" s="9" t="s">
        <v>94</v>
      </c>
      <c r="B89" s="8">
        <v>0.5</v>
      </c>
      <c r="C89" s="8">
        <v>0.43</v>
      </c>
      <c r="D89" s="8">
        <v>0.38</v>
      </c>
      <c r="E89" s="8">
        <v>0.47461999999999993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ht="15">
      <c r="A90" s="9" t="s">
        <v>95</v>
      </c>
      <c r="B90" s="8">
        <v>0.73</v>
      </c>
      <c r="C90" s="8">
        <v>0.63</v>
      </c>
      <c r="D90" s="8">
        <v>0.51</v>
      </c>
      <c r="E90" s="8">
        <v>0.56049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1:58" ht="15">
      <c r="A91" s="9" t="s">
        <v>96</v>
      </c>
      <c r="B91" s="8">
        <v>3.7970718112785913</v>
      </c>
      <c r="C91" s="8">
        <v>4.057090067841955</v>
      </c>
      <c r="D91" s="8">
        <v>4.057090067841955</v>
      </c>
      <c r="E91" s="8">
        <v>3.7792800000000004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1:58" ht="15">
      <c r="A92" s="9" t="s">
        <v>97</v>
      </c>
      <c r="B92" s="8">
        <v>1.7749262198414113</v>
      </c>
      <c r="C92" s="8">
        <v>1.7599199839870594</v>
      </c>
      <c r="D92" s="8">
        <v>3.32</v>
      </c>
      <c r="E92" s="8">
        <v>3.4660799999999994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1:58" ht="15">
      <c r="A93" s="9"/>
      <c r="B93" s="15"/>
      <c r="C93" s="15"/>
      <c r="D93" s="15"/>
      <c r="E93" s="15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1:58" ht="15">
      <c r="A94" s="25" t="s">
        <v>98</v>
      </c>
      <c r="B94" s="46"/>
      <c r="C94" s="46"/>
      <c r="D94" s="46"/>
      <c r="E94" s="4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ht="15">
      <c r="A95" s="9" t="s">
        <v>99</v>
      </c>
      <c r="B95" s="8">
        <v>6.50703348901099</v>
      </c>
      <c r="C95" s="8">
        <v>6.702244493681319</v>
      </c>
      <c r="D95" s="8">
        <v>6.702244493681319</v>
      </c>
      <c r="E95" s="8">
        <v>6.702244493681319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5">
      <c r="A96" s="9" t="s">
        <v>100</v>
      </c>
      <c r="B96" s="8">
        <v>2.2456133653846155</v>
      </c>
      <c r="C96" s="8">
        <v>2.3578940336538463</v>
      </c>
      <c r="D96" s="8">
        <v>2.3578940336538463</v>
      </c>
      <c r="E96" s="8">
        <v>2.3578940336538463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1:58" ht="15">
      <c r="A97" s="9" t="s">
        <v>101</v>
      </c>
      <c r="B97" s="8">
        <v>0.7041031255153594</v>
      </c>
      <c r="C97" s="8">
        <v>0.7252262192808202</v>
      </c>
      <c r="D97" s="8">
        <v>0.7252262192808202</v>
      </c>
      <c r="E97" s="8">
        <v>0.7252262192808202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1:58" ht="15">
      <c r="A98" s="9"/>
      <c r="B98" s="9"/>
      <c r="C98" s="9"/>
      <c r="D98" s="9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1:58" ht="15">
      <c r="A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ht="15">
      <c r="A101" s="9"/>
    </row>
    <row r="102" ht="15">
      <c r="A102" s="9"/>
    </row>
    <row r="103" spans="1:5" ht="15">
      <c r="A103" s="21" t="s">
        <v>102</v>
      </c>
      <c r="B103" s="14"/>
      <c r="C103" s="14"/>
      <c r="D103" s="14"/>
      <c r="E103" s="14"/>
    </row>
    <row r="104" spans="1:58" ht="15">
      <c r="A104" s="21" t="s">
        <v>103</v>
      </c>
      <c r="B104" s="9"/>
      <c r="C104" s="9"/>
      <c r="D104" s="9"/>
      <c r="E104" s="9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</row>
    <row r="105" spans="1:58" ht="15">
      <c r="A105" s="22" t="s">
        <v>104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61" ht="15">
      <c r="A106" s="9" t="s">
        <v>105</v>
      </c>
      <c r="B106" s="23">
        <v>0.62</v>
      </c>
      <c r="C106" s="23">
        <v>0.62</v>
      </c>
      <c r="D106" s="23">
        <v>0.62</v>
      </c>
      <c r="E106" s="23">
        <v>0.62</v>
      </c>
      <c r="G106" s="23">
        <v>0.62</v>
      </c>
      <c r="H106" s="23">
        <v>0.62</v>
      </c>
      <c r="I106" s="23">
        <v>0.62</v>
      </c>
      <c r="J106" s="23">
        <v>0.62</v>
      </c>
      <c r="K106" s="23">
        <v>0.62</v>
      </c>
      <c r="L106" s="23">
        <v>0.62</v>
      </c>
      <c r="M106" s="23">
        <v>0.62</v>
      </c>
      <c r="N106" s="23">
        <v>0.62</v>
      </c>
      <c r="O106" s="23">
        <v>0.62</v>
      </c>
      <c r="P106" s="23">
        <v>0.62</v>
      </c>
      <c r="Q106" s="23">
        <v>0.62</v>
      </c>
      <c r="R106" s="23">
        <v>0.62</v>
      </c>
      <c r="S106" s="23">
        <v>0.62</v>
      </c>
      <c r="T106" s="23">
        <v>0.62</v>
      </c>
      <c r="U106" s="23">
        <v>0.62</v>
      </c>
      <c r="V106" s="23">
        <v>1.62</v>
      </c>
      <c r="W106" s="23">
        <v>0.62</v>
      </c>
      <c r="X106" s="23">
        <v>0.62</v>
      </c>
      <c r="Y106" s="23">
        <v>0.62</v>
      </c>
      <c r="Z106" s="23">
        <v>0.62</v>
      </c>
      <c r="AA106" s="23">
        <v>0.62</v>
      </c>
      <c r="AB106" s="23">
        <v>0.62</v>
      </c>
      <c r="AC106" s="23">
        <v>0.62</v>
      </c>
      <c r="AD106" s="23">
        <v>0.62</v>
      </c>
      <c r="AE106" s="23">
        <v>0.62</v>
      </c>
      <c r="AF106" s="23">
        <v>0.62</v>
      </c>
      <c r="AG106" s="23">
        <v>0.62</v>
      </c>
      <c r="AH106" s="23">
        <v>0.62</v>
      </c>
      <c r="AI106" s="23">
        <v>0.62</v>
      </c>
      <c r="AJ106" s="23">
        <v>0.62</v>
      </c>
      <c r="AK106" s="23">
        <v>0.62</v>
      </c>
      <c r="AL106" s="23">
        <v>0.62</v>
      </c>
      <c r="AM106" s="23">
        <v>0.62</v>
      </c>
      <c r="AN106" s="23">
        <v>0.62</v>
      </c>
      <c r="AO106" s="23">
        <v>0.62</v>
      </c>
      <c r="AP106" s="23">
        <v>0.62</v>
      </c>
      <c r="AQ106" s="23">
        <v>0.62</v>
      </c>
      <c r="AR106" s="23">
        <v>0.62</v>
      </c>
      <c r="AS106" s="23">
        <v>0.62</v>
      </c>
      <c r="AT106" s="23">
        <v>0.62</v>
      </c>
      <c r="AU106" s="23">
        <v>0.62</v>
      </c>
      <c r="AV106" s="23">
        <v>0.62</v>
      </c>
      <c r="AW106" s="23">
        <v>0.62</v>
      </c>
      <c r="AX106" s="23">
        <v>0.62</v>
      </c>
      <c r="AY106" s="23">
        <v>0.62</v>
      </c>
      <c r="AZ106" s="23">
        <v>0.62</v>
      </c>
      <c r="BA106" s="23"/>
      <c r="BB106" s="23">
        <v>0.62</v>
      </c>
      <c r="BC106" s="23">
        <v>0.62</v>
      </c>
      <c r="BD106" s="23">
        <v>0.62</v>
      </c>
      <c r="BE106" s="23">
        <v>0.62</v>
      </c>
      <c r="BF106" s="23">
        <v>0.62</v>
      </c>
      <c r="BG106" s="23">
        <v>1.62</v>
      </c>
      <c r="BH106" s="23">
        <v>2.62</v>
      </c>
      <c r="BI106" s="23">
        <v>3.62</v>
      </c>
    </row>
    <row r="107" spans="1:61" ht="15">
      <c r="A107" s="9" t="s">
        <v>106</v>
      </c>
      <c r="B107" s="23">
        <f>1-B106</f>
        <v>0.38</v>
      </c>
      <c r="C107" s="23">
        <v>0.38</v>
      </c>
      <c r="D107" s="23">
        <v>0.38</v>
      </c>
      <c r="E107" s="23">
        <v>0.38</v>
      </c>
      <c r="F107" s="23"/>
      <c r="G107" s="23">
        <f aca="true" t="shared" si="6" ref="G107:AM107">1-G106</f>
        <v>0.38</v>
      </c>
      <c r="H107" s="23">
        <f t="shared" si="6"/>
        <v>0.38</v>
      </c>
      <c r="I107" s="23">
        <f t="shared" si="6"/>
        <v>0.38</v>
      </c>
      <c r="J107" s="23">
        <f t="shared" si="6"/>
        <v>0.38</v>
      </c>
      <c r="K107" s="23">
        <f t="shared" si="6"/>
        <v>0.38</v>
      </c>
      <c r="L107" s="23">
        <f t="shared" si="6"/>
        <v>0.38</v>
      </c>
      <c r="M107" s="23">
        <f t="shared" si="6"/>
        <v>0.38</v>
      </c>
      <c r="N107" s="23">
        <f t="shared" si="6"/>
        <v>0.38</v>
      </c>
      <c r="O107" s="23">
        <f t="shared" si="6"/>
        <v>0.38</v>
      </c>
      <c r="P107" s="23">
        <f t="shared" si="6"/>
        <v>0.38</v>
      </c>
      <c r="Q107" s="23">
        <f t="shared" si="6"/>
        <v>0.38</v>
      </c>
      <c r="R107" s="23">
        <f t="shared" si="6"/>
        <v>0.38</v>
      </c>
      <c r="S107" s="23">
        <f t="shared" si="6"/>
        <v>0.38</v>
      </c>
      <c r="T107" s="23">
        <f t="shared" si="6"/>
        <v>0.38</v>
      </c>
      <c r="U107" s="23">
        <f t="shared" si="6"/>
        <v>0.38</v>
      </c>
      <c r="V107" s="23">
        <f t="shared" si="6"/>
        <v>-0.6200000000000001</v>
      </c>
      <c r="W107" s="23">
        <f t="shared" si="6"/>
        <v>0.38</v>
      </c>
      <c r="X107" s="23">
        <f t="shared" si="6"/>
        <v>0.38</v>
      </c>
      <c r="Y107" s="23">
        <f t="shared" si="6"/>
        <v>0.38</v>
      </c>
      <c r="Z107" s="23">
        <f t="shared" si="6"/>
        <v>0.38</v>
      </c>
      <c r="AA107" s="23">
        <f t="shared" si="6"/>
        <v>0.38</v>
      </c>
      <c r="AB107" s="23">
        <f t="shared" si="6"/>
        <v>0.38</v>
      </c>
      <c r="AC107" s="23">
        <f t="shared" si="6"/>
        <v>0.38</v>
      </c>
      <c r="AD107" s="23">
        <f t="shared" si="6"/>
        <v>0.38</v>
      </c>
      <c r="AE107" s="23">
        <f t="shared" si="6"/>
        <v>0.38</v>
      </c>
      <c r="AF107" s="23">
        <f t="shared" si="6"/>
        <v>0.38</v>
      </c>
      <c r="AG107" s="23">
        <f t="shared" si="6"/>
        <v>0.38</v>
      </c>
      <c r="AH107" s="23">
        <f t="shared" si="6"/>
        <v>0.38</v>
      </c>
      <c r="AI107" s="23">
        <f t="shared" si="6"/>
        <v>0.38</v>
      </c>
      <c r="AJ107" s="23">
        <f t="shared" si="6"/>
        <v>0.38</v>
      </c>
      <c r="AK107" s="23">
        <f t="shared" si="6"/>
        <v>0.38</v>
      </c>
      <c r="AL107" s="23">
        <f t="shared" si="6"/>
        <v>0.38</v>
      </c>
      <c r="AM107" s="23">
        <f t="shared" si="6"/>
        <v>0.38</v>
      </c>
      <c r="AN107" s="23">
        <f aca="true" t="shared" si="7" ref="AN107:AY107">1-AN106</f>
        <v>0.38</v>
      </c>
      <c r="AO107" s="23">
        <f t="shared" si="7"/>
        <v>0.38</v>
      </c>
      <c r="AP107" s="23">
        <f t="shared" si="7"/>
        <v>0.38</v>
      </c>
      <c r="AQ107" s="23">
        <f t="shared" si="7"/>
        <v>0.38</v>
      </c>
      <c r="AR107" s="23">
        <f t="shared" si="7"/>
        <v>0.38</v>
      </c>
      <c r="AS107" s="23">
        <f t="shared" si="7"/>
        <v>0.38</v>
      </c>
      <c r="AT107" s="23">
        <f t="shared" si="7"/>
        <v>0.38</v>
      </c>
      <c r="AU107" s="23">
        <f t="shared" si="7"/>
        <v>0.38</v>
      </c>
      <c r="AV107" s="23">
        <f t="shared" si="7"/>
        <v>0.38</v>
      </c>
      <c r="AW107" s="23">
        <f t="shared" si="7"/>
        <v>0.38</v>
      </c>
      <c r="AX107" s="23">
        <f t="shared" si="7"/>
        <v>0.38</v>
      </c>
      <c r="AY107" s="23">
        <f t="shared" si="7"/>
        <v>0.38</v>
      </c>
      <c r="AZ107" s="23">
        <f>1-AZ106</f>
        <v>0.38</v>
      </c>
      <c r="BA107" s="23"/>
      <c r="BB107" s="23">
        <f aca="true" t="shared" si="8" ref="BB107:BI107">1-BB106</f>
        <v>0.38</v>
      </c>
      <c r="BC107" s="23">
        <f t="shared" si="8"/>
        <v>0.38</v>
      </c>
      <c r="BD107" s="23">
        <f t="shared" si="8"/>
        <v>0.38</v>
      </c>
      <c r="BE107" s="23">
        <f t="shared" si="8"/>
        <v>0.38</v>
      </c>
      <c r="BF107" s="23">
        <f t="shared" si="8"/>
        <v>0.38</v>
      </c>
      <c r="BG107" s="23">
        <f t="shared" si="8"/>
        <v>-0.6200000000000001</v>
      </c>
      <c r="BH107" s="23">
        <f t="shared" si="8"/>
        <v>-1.62</v>
      </c>
      <c r="BI107" s="23">
        <f t="shared" si="8"/>
        <v>-2.62</v>
      </c>
    </row>
    <row r="108" spans="1:61" ht="15">
      <c r="A108" s="22" t="s">
        <v>107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</row>
    <row r="109" spans="1:61" ht="15">
      <c r="A109" s="26" t="s">
        <v>108</v>
      </c>
      <c r="B109" s="45">
        <f>B21</f>
        <v>5.411708558701878</v>
      </c>
      <c r="C109" s="45">
        <f>C21</f>
        <v>5.256703826453751</v>
      </c>
      <c r="D109" s="45">
        <f>D21</f>
        <v>5.65</v>
      </c>
      <c r="E109" s="45">
        <f>E21</f>
        <v>5.370572207084469</v>
      </c>
      <c r="F109" s="23"/>
      <c r="G109" s="45">
        <f aca="true" t="shared" si="9" ref="G109:X109">$B109</f>
        <v>5.411708558701878</v>
      </c>
      <c r="H109" s="45">
        <f t="shared" si="9"/>
        <v>5.411708558701878</v>
      </c>
      <c r="I109" s="45">
        <f t="shared" si="9"/>
        <v>5.411708558701878</v>
      </c>
      <c r="J109" s="45">
        <f t="shared" si="9"/>
        <v>5.411708558701878</v>
      </c>
      <c r="K109" s="45">
        <f>$B109</f>
        <v>5.411708558701878</v>
      </c>
      <c r="L109" s="45">
        <f t="shared" si="9"/>
        <v>5.411708558701878</v>
      </c>
      <c r="M109" s="45">
        <f t="shared" si="9"/>
        <v>5.411708558701878</v>
      </c>
      <c r="N109" s="45">
        <f t="shared" si="9"/>
        <v>5.411708558701878</v>
      </c>
      <c r="O109" s="45">
        <f t="shared" si="9"/>
        <v>5.411708558701878</v>
      </c>
      <c r="P109" s="45">
        <f t="shared" si="9"/>
        <v>5.411708558701878</v>
      </c>
      <c r="Q109" s="45">
        <f t="shared" si="9"/>
        <v>5.411708558701878</v>
      </c>
      <c r="R109" s="45">
        <f t="shared" si="9"/>
        <v>5.411708558701878</v>
      </c>
      <c r="S109" s="45">
        <f t="shared" si="9"/>
        <v>5.411708558701878</v>
      </c>
      <c r="T109" s="45">
        <f t="shared" si="9"/>
        <v>5.411708558701878</v>
      </c>
      <c r="U109" s="45">
        <f t="shared" si="9"/>
        <v>5.411708558701878</v>
      </c>
      <c r="V109" s="45">
        <f t="shared" si="9"/>
        <v>5.411708558701878</v>
      </c>
      <c r="W109" s="45">
        <f t="shared" si="9"/>
        <v>5.411708558701878</v>
      </c>
      <c r="X109" s="45">
        <f t="shared" si="9"/>
        <v>5.411708558701878</v>
      </c>
      <c r="Y109" s="45">
        <f aca="true" t="shared" si="10" ref="Y109:AJ109">$C109</f>
        <v>5.256703826453751</v>
      </c>
      <c r="Z109" s="45">
        <f t="shared" si="10"/>
        <v>5.256703826453751</v>
      </c>
      <c r="AA109" s="45">
        <f t="shared" si="10"/>
        <v>5.256703826453751</v>
      </c>
      <c r="AB109" s="45">
        <f t="shared" si="10"/>
        <v>5.256703826453751</v>
      </c>
      <c r="AC109" s="45">
        <f t="shared" si="10"/>
        <v>5.256703826453751</v>
      </c>
      <c r="AD109" s="45">
        <f t="shared" si="10"/>
        <v>5.256703826453751</v>
      </c>
      <c r="AE109" s="45">
        <f t="shared" si="10"/>
        <v>5.256703826453751</v>
      </c>
      <c r="AF109" s="45">
        <f t="shared" si="10"/>
        <v>5.256703826453751</v>
      </c>
      <c r="AG109" s="45">
        <f t="shared" si="10"/>
        <v>5.256703826453751</v>
      </c>
      <c r="AH109" s="45">
        <f t="shared" si="10"/>
        <v>5.256703826453751</v>
      </c>
      <c r="AI109" s="45">
        <f t="shared" si="10"/>
        <v>5.256703826453751</v>
      </c>
      <c r="AJ109" s="45">
        <f t="shared" si="10"/>
        <v>5.256703826453751</v>
      </c>
      <c r="AK109" s="45">
        <f aca="true" t="shared" si="11" ref="AK109:AP109">$D109</f>
        <v>5.65</v>
      </c>
      <c r="AL109" s="45">
        <f t="shared" si="11"/>
        <v>5.65</v>
      </c>
      <c r="AM109" s="45">
        <f t="shared" si="11"/>
        <v>5.65</v>
      </c>
      <c r="AN109" s="45">
        <f t="shared" si="11"/>
        <v>5.65</v>
      </c>
      <c r="AO109" s="45">
        <f>$D109</f>
        <v>5.65</v>
      </c>
      <c r="AP109" s="45">
        <f t="shared" si="11"/>
        <v>5.65</v>
      </c>
      <c r="AQ109" s="45">
        <f>$E109</f>
        <v>5.370572207084469</v>
      </c>
      <c r="AR109" s="45">
        <f>$E109</f>
        <v>5.370572207084469</v>
      </c>
      <c r="AS109" s="45">
        <f>$E109</f>
        <v>5.370572207084469</v>
      </c>
      <c r="AT109" s="45">
        <f>$E109</f>
        <v>5.370572207084469</v>
      </c>
      <c r="AU109" s="45">
        <f aca="true" t="shared" si="12" ref="AU109:AZ109">$E109</f>
        <v>5.370572207084469</v>
      </c>
      <c r="AV109" s="45">
        <f t="shared" si="12"/>
        <v>5.370572207084469</v>
      </c>
      <c r="AW109" s="45">
        <f t="shared" si="12"/>
        <v>5.370572207084469</v>
      </c>
      <c r="AX109" s="45">
        <f t="shared" si="12"/>
        <v>5.370572207084469</v>
      </c>
      <c r="AY109" s="45">
        <f t="shared" si="12"/>
        <v>5.370572207084469</v>
      </c>
      <c r="AZ109" s="45">
        <f t="shared" si="12"/>
        <v>5.370572207084469</v>
      </c>
      <c r="BA109" s="45"/>
      <c r="BB109" s="45">
        <f aca="true" t="shared" si="13" ref="BB109:BI109">$D109</f>
        <v>5.65</v>
      </c>
      <c r="BC109" s="45">
        <f t="shared" si="13"/>
        <v>5.65</v>
      </c>
      <c r="BD109" s="45">
        <f t="shared" si="13"/>
        <v>5.65</v>
      </c>
      <c r="BE109" s="45">
        <f t="shared" si="13"/>
        <v>5.65</v>
      </c>
      <c r="BF109" s="45">
        <f t="shared" si="13"/>
        <v>5.65</v>
      </c>
      <c r="BG109" s="45">
        <f t="shared" si="13"/>
        <v>5.65</v>
      </c>
      <c r="BH109" s="45">
        <f t="shared" si="13"/>
        <v>5.65</v>
      </c>
      <c r="BI109" s="45">
        <f t="shared" si="13"/>
        <v>5.65</v>
      </c>
    </row>
    <row r="110" spans="1:61" ht="15">
      <c r="A110" s="21" t="s">
        <v>109</v>
      </c>
      <c r="B110" s="23"/>
      <c r="C110" s="23"/>
      <c r="D110" s="23"/>
      <c r="E110" s="23"/>
      <c r="F110" s="45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</row>
    <row r="111" spans="1:61" ht="15">
      <c r="A111" s="22" t="s">
        <v>110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</row>
    <row r="112" spans="1:61" ht="15">
      <c r="A112" s="9" t="s">
        <v>111</v>
      </c>
      <c r="B112" s="8">
        <f>B71*B106</f>
        <v>812.1957563312799</v>
      </c>
      <c r="C112" s="8">
        <f>C71*C106</f>
        <v>812.2</v>
      </c>
      <c r="D112" s="8">
        <f>D71*D106</f>
        <v>814.6347284060552</v>
      </c>
      <c r="E112" s="8">
        <f>E71*E106</f>
        <v>856.99573428317</v>
      </c>
      <c r="F112" s="23"/>
      <c r="G112" s="8">
        <f aca="true" t="shared" si="14" ref="G112:X112">$B71*$B106</f>
        <v>812.1957563312799</v>
      </c>
      <c r="H112" s="8">
        <f t="shared" si="14"/>
        <v>812.1957563312799</v>
      </c>
      <c r="I112" s="8">
        <f t="shared" si="14"/>
        <v>812.1957563312799</v>
      </c>
      <c r="J112" s="8">
        <f t="shared" si="14"/>
        <v>812.1957563312799</v>
      </c>
      <c r="K112" s="8">
        <f t="shared" si="14"/>
        <v>812.1957563312799</v>
      </c>
      <c r="L112" s="8">
        <f t="shared" si="14"/>
        <v>812.1957563312799</v>
      </c>
      <c r="M112" s="8">
        <f t="shared" si="14"/>
        <v>812.1957563312799</v>
      </c>
      <c r="N112" s="8">
        <f t="shared" si="14"/>
        <v>812.1957563312799</v>
      </c>
      <c r="O112" s="8">
        <f t="shared" si="14"/>
        <v>812.1957563312799</v>
      </c>
      <c r="P112" s="8">
        <f t="shared" si="14"/>
        <v>812.1957563312799</v>
      </c>
      <c r="Q112" s="8">
        <f t="shared" si="14"/>
        <v>812.1957563312799</v>
      </c>
      <c r="R112" s="8">
        <f t="shared" si="14"/>
        <v>812.1957563312799</v>
      </c>
      <c r="S112" s="8">
        <f t="shared" si="14"/>
        <v>812.1957563312799</v>
      </c>
      <c r="T112" s="8">
        <f t="shared" si="14"/>
        <v>812.1957563312799</v>
      </c>
      <c r="U112" s="8">
        <f t="shared" si="14"/>
        <v>812.1957563312799</v>
      </c>
      <c r="V112" s="8">
        <f t="shared" si="14"/>
        <v>812.1957563312799</v>
      </c>
      <c r="W112" s="8">
        <f t="shared" si="14"/>
        <v>812.1957563312799</v>
      </c>
      <c r="X112" s="8">
        <f t="shared" si="14"/>
        <v>812.1957563312799</v>
      </c>
      <c r="Y112" s="8">
        <f aca="true" t="shared" si="15" ref="Y112:AJ112">$C71*$C106</f>
        <v>812.2</v>
      </c>
      <c r="Z112" s="8">
        <f t="shared" si="15"/>
        <v>812.2</v>
      </c>
      <c r="AA112" s="8">
        <f t="shared" si="15"/>
        <v>812.2</v>
      </c>
      <c r="AB112" s="8">
        <f t="shared" si="15"/>
        <v>812.2</v>
      </c>
      <c r="AC112" s="8">
        <f t="shared" si="15"/>
        <v>812.2</v>
      </c>
      <c r="AD112" s="8">
        <f t="shared" si="15"/>
        <v>812.2</v>
      </c>
      <c r="AE112" s="8">
        <f t="shared" si="15"/>
        <v>812.2</v>
      </c>
      <c r="AF112" s="8">
        <f t="shared" si="15"/>
        <v>812.2</v>
      </c>
      <c r="AG112" s="8">
        <f t="shared" si="15"/>
        <v>812.2</v>
      </c>
      <c r="AH112" s="8">
        <f t="shared" si="15"/>
        <v>812.2</v>
      </c>
      <c r="AI112" s="8">
        <f t="shared" si="15"/>
        <v>812.2</v>
      </c>
      <c r="AJ112" s="8">
        <f t="shared" si="15"/>
        <v>812.2</v>
      </c>
      <c r="AK112" s="8">
        <f aca="true" t="shared" si="16" ref="AK112:AP112">$D71*$D106</f>
        <v>814.6347284060552</v>
      </c>
      <c r="AL112" s="8">
        <f t="shared" si="16"/>
        <v>814.6347284060552</v>
      </c>
      <c r="AM112" s="8">
        <f t="shared" si="16"/>
        <v>814.6347284060552</v>
      </c>
      <c r="AN112" s="8">
        <f t="shared" si="16"/>
        <v>814.6347284060552</v>
      </c>
      <c r="AO112" s="8">
        <f t="shared" si="16"/>
        <v>814.6347284060552</v>
      </c>
      <c r="AP112" s="8">
        <f t="shared" si="16"/>
        <v>814.6347284060552</v>
      </c>
      <c r="AQ112" s="8">
        <f aca="true" t="shared" si="17" ref="AQ112:AV112">$D71*$D106</f>
        <v>814.6347284060552</v>
      </c>
      <c r="AR112" s="8">
        <f t="shared" si="17"/>
        <v>814.6347284060552</v>
      </c>
      <c r="AS112" s="8">
        <f t="shared" si="17"/>
        <v>814.6347284060552</v>
      </c>
      <c r="AT112" s="8">
        <f t="shared" si="17"/>
        <v>814.6347284060552</v>
      </c>
      <c r="AU112" s="8">
        <f t="shared" si="17"/>
        <v>814.6347284060552</v>
      </c>
      <c r="AV112" s="8">
        <f t="shared" si="17"/>
        <v>814.6347284060552</v>
      </c>
      <c r="AW112" s="8">
        <f>$D71*$D106</f>
        <v>814.6347284060552</v>
      </c>
      <c r="AX112" s="8">
        <f>$D71*$D106</f>
        <v>814.6347284060552</v>
      </c>
      <c r="AY112" s="8">
        <f>$E71*$E106</f>
        <v>856.99573428317</v>
      </c>
      <c r="AZ112" s="8">
        <f>$E71*$E106</f>
        <v>856.99573428317</v>
      </c>
      <c r="BA112" s="8"/>
      <c r="BB112" s="8">
        <f aca="true" t="shared" si="18" ref="BB112:BI112">$D71*$D106</f>
        <v>814.6347284060552</v>
      </c>
      <c r="BC112" s="8">
        <f t="shared" si="18"/>
        <v>814.6347284060552</v>
      </c>
      <c r="BD112" s="8">
        <f t="shared" si="18"/>
        <v>814.6347284060552</v>
      </c>
      <c r="BE112" s="8">
        <f t="shared" si="18"/>
        <v>814.6347284060552</v>
      </c>
      <c r="BF112" s="8">
        <f t="shared" si="18"/>
        <v>814.6347284060552</v>
      </c>
      <c r="BG112" s="8">
        <f t="shared" si="18"/>
        <v>814.6347284060552</v>
      </c>
      <c r="BH112" s="8">
        <f t="shared" si="18"/>
        <v>814.6347284060552</v>
      </c>
      <c r="BI112" s="8">
        <f t="shared" si="18"/>
        <v>814.6347284060552</v>
      </c>
    </row>
    <row r="113" spans="1:61" ht="15">
      <c r="A113" s="9" t="s">
        <v>112</v>
      </c>
      <c r="B113" s="8">
        <f>B71*B107</f>
        <v>497.7973990417522</v>
      </c>
      <c r="C113" s="8">
        <f>C71*C107</f>
        <v>497.8</v>
      </c>
      <c r="D113" s="8">
        <f>D71*D107</f>
        <v>499.2922528940338</v>
      </c>
      <c r="E113" s="8">
        <f>E71*E107</f>
        <v>525.2554500445236</v>
      </c>
      <c r="F113" s="8"/>
      <c r="G113" s="8">
        <f aca="true" t="shared" si="19" ref="G113:X113">$B71*$B107</f>
        <v>497.7973990417522</v>
      </c>
      <c r="H113" s="8">
        <f t="shared" si="19"/>
        <v>497.7973990417522</v>
      </c>
      <c r="I113" s="8">
        <f t="shared" si="19"/>
        <v>497.7973990417522</v>
      </c>
      <c r="J113" s="8">
        <f t="shared" si="19"/>
        <v>497.7973990417522</v>
      </c>
      <c r="K113" s="8">
        <f t="shared" si="19"/>
        <v>497.7973990417522</v>
      </c>
      <c r="L113" s="8">
        <f t="shared" si="19"/>
        <v>497.7973990417522</v>
      </c>
      <c r="M113" s="8">
        <f t="shared" si="19"/>
        <v>497.7973990417522</v>
      </c>
      <c r="N113" s="8">
        <f t="shared" si="19"/>
        <v>497.7973990417522</v>
      </c>
      <c r="O113" s="8">
        <f t="shared" si="19"/>
        <v>497.7973990417522</v>
      </c>
      <c r="P113" s="8">
        <f t="shared" si="19"/>
        <v>497.7973990417522</v>
      </c>
      <c r="Q113" s="8">
        <f t="shared" si="19"/>
        <v>497.7973990417522</v>
      </c>
      <c r="R113" s="8">
        <f t="shared" si="19"/>
        <v>497.7973990417522</v>
      </c>
      <c r="S113" s="8">
        <f t="shared" si="19"/>
        <v>497.7973990417522</v>
      </c>
      <c r="T113" s="8">
        <f t="shared" si="19"/>
        <v>497.7973990417522</v>
      </c>
      <c r="U113" s="8">
        <f t="shared" si="19"/>
        <v>497.7973990417522</v>
      </c>
      <c r="V113" s="8">
        <f t="shared" si="19"/>
        <v>497.7973990417522</v>
      </c>
      <c r="W113" s="8">
        <f t="shared" si="19"/>
        <v>497.7973990417522</v>
      </c>
      <c r="X113" s="8">
        <f t="shared" si="19"/>
        <v>497.7973990417522</v>
      </c>
      <c r="Y113" s="8">
        <f aca="true" t="shared" si="20" ref="Y113:AJ113">$C71*$C107</f>
        <v>497.8</v>
      </c>
      <c r="Z113" s="8">
        <f t="shared" si="20"/>
        <v>497.8</v>
      </c>
      <c r="AA113" s="8">
        <f t="shared" si="20"/>
        <v>497.8</v>
      </c>
      <c r="AB113" s="8">
        <f t="shared" si="20"/>
        <v>497.8</v>
      </c>
      <c r="AC113" s="8">
        <f t="shared" si="20"/>
        <v>497.8</v>
      </c>
      <c r="AD113" s="8">
        <f t="shared" si="20"/>
        <v>497.8</v>
      </c>
      <c r="AE113" s="8">
        <f t="shared" si="20"/>
        <v>497.8</v>
      </c>
      <c r="AF113" s="8">
        <f t="shared" si="20"/>
        <v>497.8</v>
      </c>
      <c r="AG113" s="8">
        <f t="shared" si="20"/>
        <v>497.8</v>
      </c>
      <c r="AH113" s="8">
        <f t="shared" si="20"/>
        <v>497.8</v>
      </c>
      <c r="AI113" s="8">
        <f t="shared" si="20"/>
        <v>497.8</v>
      </c>
      <c r="AJ113" s="8">
        <f t="shared" si="20"/>
        <v>497.8</v>
      </c>
      <c r="AK113" s="8">
        <f aca="true" t="shared" si="21" ref="AK113:AP113">$D71*$D107</f>
        <v>499.2922528940338</v>
      </c>
      <c r="AL113" s="8">
        <f t="shared" si="21"/>
        <v>499.2922528940338</v>
      </c>
      <c r="AM113" s="8">
        <f t="shared" si="21"/>
        <v>499.2922528940338</v>
      </c>
      <c r="AN113" s="8">
        <f t="shared" si="21"/>
        <v>499.2922528940338</v>
      </c>
      <c r="AO113" s="8">
        <f t="shared" si="21"/>
        <v>499.2922528940338</v>
      </c>
      <c r="AP113" s="8">
        <f t="shared" si="21"/>
        <v>499.2922528940338</v>
      </c>
      <c r="AQ113" s="8">
        <f aca="true" t="shared" si="22" ref="AQ113:AV113">$D71*$D107</f>
        <v>499.2922528940338</v>
      </c>
      <c r="AR113" s="8">
        <f t="shared" si="22"/>
        <v>499.2922528940338</v>
      </c>
      <c r="AS113" s="8">
        <f t="shared" si="22"/>
        <v>499.2922528940338</v>
      </c>
      <c r="AT113" s="8">
        <f t="shared" si="22"/>
        <v>499.2922528940338</v>
      </c>
      <c r="AU113" s="8">
        <f t="shared" si="22"/>
        <v>499.2922528940338</v>
      </c>
      <c r="AV113" s="8">
        <f t="shared" si="22"/>
        <v>499.2922528940338</v>
      </c>
      <c r="AW113" s="8">
        <f>$D71*$D107</f>
        <v>499.2922528940338</v>
      </c>
      <c r="AX113" s="8">
        <f>$D71*$D107</f>
        <v>499.2922528940338</v>
      </c>
      <c r="AY113" s="8">
        <f>$E71*$E107</f>
        <v>525.2554500445236</v>
      </c>
      <c r="AZ113" s="8">
        <f>$E71*$E107</f>
        <v>525.2554500445236</v>
      </c>
      <c r="BA113" s="8"/>
      <c r="BB113" s="8">
        <f aca="true" t="shared" si="23" ref="BB113:BI113">$D71*$D107</f>
        <v>499.2922528940338</v>
      </c>
      <c r="BC113" s="8">
        <f t="shared" si="23"/>
        <v>499.2922528940338</v>
      </c>
      <c r="BD113" s="8">
        <f t="shared" si="23"/>
        <v>499.2922528940338</v>
      </c>
      <c r="BE113" s="8">
        <f t="shared" si="23"/>
        <v>499.2922528940338</v>
      </c>
      <c r="BF113" s="8">
        <f t="shared" si="23"/>
        <v>499.2922528940338</v>
      </c>
      <c r="BG113" s="8">
        <f t="shared" si="23"/>
        <v>499.2922528940338</v>
      </c>
      <c r="BH113" s="8">
        <f t="shared" si="23"/>
        <v>499.2922528940338</v>
      </c>
      <c r="BI113" s="8">
        <f t="shared" si="23"/>
        <v>499.2922528940338</v>
      </c>
    </row>
    <row r="114" spans="1:61" ht="15">
      <c r="A114" s="9" t="s">
        <v>113</v>
      </c>
      <c r="B114" s="8">
        <f>B72*B106</f>
        <v>52.70212183436002</v>
      </c>
      <c r="C114" s="8">
        <f>C72*C106</f>
        <v>58.28193901485536</v>
      </c>
      <c r="D114" s="8">
        <f>D72*D106</f>
        <v>58.45556544968833</v>
      </c>
      <c r="E114" s="8">
        <f>E72*E106</f>
        <v>61.495254853072126</v>
      </c>
      <c r="F114" s="8"/>
      <c r="G114" s="8">
        <f aca="true" t="shared" si="24" ref="G114:X114">$B72*$B106</f>
        <v>52.70212183436002</v>
      </c>
      <c r="H114" s="8">
        <f t="shared" si="24"/>
        <v>52.70212183436002</v>
      </c>
      <c r="I114" s="8">
        <f t="shared" si="24"/>
        <v>52.70212183436002</v>
      </c>
      <c r="J114" s="8">
        <f t="shared" si="24"/>
        <v>52.70212183436002</v>
      </c>
      <c r="K114" s="8">
        <f t="shared" si="24"/>
        <v>52.70212183436002</v>
      </c>
      <c r="L114" s="8">
        <f t="shared" si="24"/>
        <v>52.70212183436002</v>
      </c>
      <c r="M114" s="8">
        <f t="shared" si="24"/>
        <v>52.70212183436002</v>
      </c>
      <c r="N114" s="8">
        <f t="shared" si="24"/>
        <v>52.70212183436002</v>
      </c>
      <c r="O114" s="8">
        <f t="shared" si="24"/>
        <v>52.70212183436002</v>
      </c>
      <c r="P114" s="8">
        <f t="shared" si="24"/>
        <v>52.70212183436002</v>
      </c>
      <c r="Q114" s="8">
        <f t="shared" si="24"/>
        <v>52.70212183436002</v>
      </c>
      <c r="R114" s="8">
        <f t="shared" si="24"/>
        <v>52.70212183436002</v>
      </c>
      <c r="S114" s="8">
        <f t="shared" si="24"/>
        <v>52.70212183436002</v>
      </c>
      <c r="T114" s="8">
        <f t="shared" si="24"/>
        <v>52.70212183436002</v>
      </c>
      <c r="U114" s="8">
        <f t="shared" si="24"/>
        <v>52.70212183436002</v>
      </c>
      <c r="V114" s="8">
        <f t="shared" si="24"/>
        <v>52.70212183436002</v>
      </c>
      <c r="W114" s="8">
        <f t="shared" si="24"/>
        <v>52.70212183436002</v>
      </c>
      <c r="X114" s="8">
        <f t="shared" si="24"/>
        <v>52.70212183436002</v>
      </c>
      <c r="Y114" s="8">
        <f aca="true" t="shared" si="25" ref="Y114:AJ114">$C72*$C106</f>
        <v>58.28193901485536</v>
      </c>
      <c r="Z114" s="8">
        <f t="shared" si="25"/>
        <v>58.28193901485536</v>
      </c>
      <c r="AA114" s="8">
        <f t="shared" si="25"/>
        <v>58.28193901485536</v>
      </c>
      <c r="AB114" s="8">
        <f t="shared" si="25"/>
        <v>58.28193901485536</v>
      </c>
      <c r="AC114" s="8">
        <f t="shared" si="25"/>
        <v>58.28193901485536</v>
      </c>
      <c r="AD114" s="8">
        <f t="shared" si="25"/>
        <v>58.28193901485536</v>
      </c>
      <c r="AE114" s="8">
        <f t="shared" si="25"/>
        <v>58.28193901485536</v>
      </c>
      <c r="AF114" s="8">
        <f t="shared" si="25"/>
        <v>58.28193901485536</v>
      </c>
      <c r="AG114" s="8">
        <f t="shared" si="25"/>
        <v>58.28193901485536</v>
      </c>
      <c r="AH114" s="8">
        <f t="shared" si="25"/>
        <v>58.28193901485536</v>
      </c>
      <c r="AI114" s="8">
        <f t="shared" si="25"/>
        <v>58.28193901485536</v>
      </c>
      <c r="AJ114" s="8">
        <f t="shared" si="25"/>
        <v>58.28193901485536</v>
      </c>
      <c r="AK114" s="8">
        <f aca="true" t="shared" si="26" ref="AK114:AP114">$D72*$D106</f>
        <v>58.45556544968833</v>
      </c>
      <c r="AL114" s="8">
        <f t="shared" si="26"/>
        <v>58.45556544968833</v>
      </c>
      <c r="AM114" s="8">
        <f t="shared" si="26"/>
        <v>58.45556544968833</v>
      </c>
      <c r="AN114" s="8">
        <f t="shared" si="26"/>
        <v>58.45556544968833</v>
      </c>
      <c r="AO114" s="8">
        <f t="shared" si="26"/>
        <v>58.45556544968833</v>
      </c>
      <c r="AP114" s="8">
        <f t="shared" si="26"/>
        <v>58.45556544968833</v>
      </c>
      <c r="AQ114" s="8">
        <f aca="true" t="shared" si="27" ref="AQ114:AV114">$D72*$D106</f>
        <v>58.45556544968833</v>
      </c>
      <c r="AR114" s="8">
        <f t="shared" si="27"/>
        <v>58.45556544968833</v>
      </c>
      <c r="AS114" s="8">
        <f t="shared" si="27"/>
        <v>58.45556544968833</v>
      </c>
      <c r="AT114" s="8">
        <f t="shared" si="27"/>
        <v>58.45556544968833</v>
      </c>
      <c r="AU114" s="8">
        <f t="shared" si="27"/>
        <v>58.45556544968833</v>
      </c>
      <c r="AV114" s="8">
        <f t="shared" si="27"/>
        <v>58.45556544968833</v>
      </c>
      <c r="AW114" s="8">
        <f>$D72*$D106</f>
        <v>58.45556544968833</v>
      </c>
      <c r="AX114" s="8">
        <f>$D72*$D106</f>
        <v>58.45556544968833</v>
      </c>
      <c r="AY114" s="8">
        <f>$E72*$E106</f>
        <v>61.495254853072126</v>
      </c>
      <c r="AZ114" s="8">
        <f>$E72*$E106</f>
        <v>61.495254853072126</v>
      </c>
      <c r="BA114" s="8"/>
      <c r="BB114" s="8">
        <f aca="true" t="shared" si="28" ref="BB114:BI114">$D72*$D106</f>
        <v>58.45556544968833</v>
      </c>
      <c r="BC114" s="8">
        <f t="shared" si="28"/>
        <v>58.45556544968833</v>
      </c>
      <c r="BD114" s="8">
        <f t="shared" si="28"/>
        <v>58.45556544968833</v>
      </c>
      <c r="BE114" s="8">
        <f t="shared" si="28"/>
        <v>58.45556544968833</v>
      </c>
      <c r="BF114" s="8">
        <f t="shared" si="28"/>
        <v>58.45556544968833</v>
      </c>
      <c r="BG114" s="8">
        <f t="shared" si="28"/>
        <v>58.45556544968833</v>
      </c>
      <c r="BH114" s="8">
        <f t="shared" si="28"/>
        <v>58.45556544968833</v>
      </c>
      <c r="BI114" s="8">
        <f t="shared" si="28"/>
        <v>58.45556544968833</v>
      </c>
    </row>
    <row r="115" spans="1:61" ht="15">
      <c r="A115" s="9" t="s">
        <v>114</v>
      </c>
      <c r="B115" s="8">
        <f>B72*B107</f>
        <v>32.30130047912389</v>
      </c>
      <c r="C115" s="8">
        <f>C72*C107</f>
        <v>35.72118842845973</v>
      </c>
      <c r="D115" s="8">
        <f>D72*D107</f>
        <v>35.82760463045414</v>
      </c>
      <c r="E115" s="8">
        <f>E72*E107</f>
        <v>37.69064007123775</v>
      </c>
      <c r="F115" s="8"/>
      <c r="G115" s="8">
        <f aca="true" t="shared" si="29" ref="G115:X115">$B72*$B107</f>
        <v>32.30130047912389</v>
      </c>
      <c r="H115" s="8">
        <f t="shared" si="29"/>
        <v>32.30130047912389</v>
      </c>
      <c r="I115" s="8">
        <f t="shared" si="29"/>
        <v>32.30130047912389</v>
      </c>
      <c r="J115" s="8">
        <f t="shared" si="29"/>
        <v>32.30130047912389</v>
      </c>
      <c r="K115" s="8">
        <f t="shared" si="29"/>
        <v>32.30130047912389</v>
      </c>
      <c r="L115" s="8">
        <f t="shared" si="29"/>
        <v>32.30130047912389</v>
      </c>
      <c r="M115" s="8">
        <f t="shared" si="29"/>
        <v>32.30130047912389</v>
      </c>
      <c r="N115" s="8">
        <f t="shared" si="29"/>
        <v>32.30130047912389</v>
      </c>
      <c r="O115" s="8">
        <f t="shared" si="29"/>
        <v>32.30130047912389</v>
      </c>
      <c r="P115" s="8">
        <f t="shared" si="29"/>
        <v>32.30130047912389</v>
      </c>
      <c r="Q115" s="8">
        <f t="shared" si="29"/>
        <v>32.30130047912389</v>
      </c>
      <c r="R115" s="8">
        <f t="shared" si="29"/>
        <v>32.30130047912389</v>
      </c>
      <c r="S115" s="8">
        <f t="shared" si="29"/>
        <v>32.30130047912389</v>
      </c>
      <c r="T115" s="8">
        <f t="shared" si="29"/>
        <v>32.30130047912389</v>
      </c>
      <c r="U115" s="8">
        <f t="shared" si="29"/>
        <v>32.30130047912389</v>
      </c>
      <c r="V115" s="8">
        <f t="shared" si="29"/>
        <v>32.30130047912389</v>
      </c>
      <c r="W115" s="8">
        <f t="shared" si="29"/>
        <v>32.30130047912389</v>
      </c>
      <c r="X115" s="8">
        <f t="shared" si="29"/>
        <v>32.30130047912389</v>
      </c>
      <c r="Y115" s="8">
        <f aca="true" t="shared" si="30" ref="Y115:AJ115">$C72*$C107</f>
        <v>35.72118842845973</v>
      </c>
      <c r="Z115" s="8">
        <f t="shared" si="30"/>
        <v>35.72118842845973</v>
      </c>
      <c r="AA115" s="8">
        <f t="shared" si="30"/>
        <v>35.72118842845973</v>
      </c>
      <c r="AB115" s="8">
        <f t="shared" si="30"/>
        <v>35.72118842845973</v>
      </c>
      <c r="AC115" s="8">
        <f t="shared" si="30"/>
        <v>35.72118842845973</v>
      </c>
      <c r="AD115" s="8">
        <f t="shared" si="30"/>
        <v>35.72118842845973</v>
      </c>
      <c r="AE115" s="8">
        <f t="shared" si="30"/>
        <v>35.72118842845973</v>
      </c>
      <c r="AF115" s="8">
        <f t="shared" si="30"/>
        <v>35.72118842845973</v>
      </c>
      <c r="AG115" s="8">
        <f t="shared" si="30"/>
        <v>35.72118842845973</v>
      </c>
      <c r="AH115" s="8">
        <f t="shared" si="30"/>
        <v>35.72118842845973</v>
      </c>
      <c r="AI115" s="8">
        <f t="shared" si="30"/>
        <v>35.72118842845973</v>
      </c>
      <c r="AJ115" s="8">
        <f t="shared" si="30"/>
        <v>35.72118842845973</v>
      </c>
      <c r="AK115" s="8">
        <f aca="true" t="shared" si="31" ref="AK115:AP115">$D72*$D107</f>
        <v>35.82760463045414</v>
      </c>
      <c r="AL115" s="8">
        <f t="shared" si="31"/>
        <v>35.82760463045414</v>
      </c>
      <c r="AM115" s="8">
        <f t="shared" si="31"/>
        <v>35.82760463045414</v>
      </c>
      <c r="AN115" s="8">
        <f t="shared" si="31"/>
        <v>35.82760463045414</v>
      </c>
      <c r="AO115" s="8">
        <f t="shared" si="31"/>
        <v>35.82760463045414</v>
      </c>
      <c r="AP115" s="8">
        <f t="shared" si="31"/>
        <v>35.82760463045414</v>
      </c>
      <c r="AQ115" s="8">
        <f aca="true" t="shared" si="32" ref="AQ115:AV115">$D72*$D107</f>
        <v>35.82760463045414</v>
      </c>
      <c r="AR115" s="8">
        <f t="shared" si="32"/>
        <v>35.82760463045414</v>
      </c>
      <c r="AS115" s="8">
        <f t="shared" si="32"/>
        <v>35.82760463045414</v>
      </c>
      <c r="AT115" s="8">
        <f t="shared" si="32"/>
        <v>35.82760463045414</v>
      </c>
      <c r="AU115" s="8">
        <f t="shared" si="32"/>
        <v>35.82760463045414</v>
      </c>
      <c r="AV115" s="8">
        <f t="shared" si="32"/>
        <v>35.82760463045414</v>
      </c>
      <c r="AW115" s="8">
        <f>$D72*$D107</f>
        <v>35.82760463045414</v>
      </c>
      <c r="AX115" s="8">
        <f>$D72*$D107</f>
        <v>35.82760463045414</v>
      </c>
      <c r="AY115" s="8">
        <f>$E72*$E107</f>
        <v>37.69064007123775</v>
      </c>
      <c r="AZ115" s="8">
        <f>$E72*$E107</f>
        <v>37.69064007123775</v>
      </c>
      <c r="BA115" s="8"/>
      <c r="BB115" s="8">
        <f aca="true" t="shared" si="33" ref="BB115:BI115">$D72*$D107</f>
        <v>35.82760463045414</v>
      </c>
      <c r="BC115" s="8">
        <f t="shared" si="33"/>
        <v>35.82760463045414</v>
      </c>
      <c r="BD115" s="8">
        <f t="shared" si="33"/>
        <v>35.82760463045414</v>
      </c>
      <c r="BE115" s="8">
        <f t="shared" si="33"/>
        <v>35.82760463045414</v>
      </c>
      <c r="BF115" s="8">
        <f t="shared" si="33"/>
        <v>35.82760463045414</v>
      </c>
      <c r="BG115" s="8">
        <f t="shared" si="33"/>
        <v>35.82760463045414</v>
      </c>
      <c r="BH115" s="8">
        <f t="shared" si="33"/>
        <v>35.82760463045414</v>
      </c>
      <c r="BI115" s="8">
        <f t="shared" si="33"/>
        <v>35.82760463045414</v>
      </c>
    </row>
    <row r="116" spans="1:61" ht="15">
      <c r="A116" s="9" t="s">
        <v>115</v>
      </c>
      <c r="B116" s="8">
        <f>B73*B106</f>
        <v>147.25106091718</v>
      </c>
      <c r="C116" s="8">
        <f>C73*C106</f>
        <v>161.1903049257232</v>
      </c>
      <c r="D116" s="8">
        <f>D73*D106</f>
        <v>161.6747996438112</v>
      </c>
      <c r="E116" s="8">
        <f>E73*E106</f>
        <v>170.0818892252894</v>
      </c>
      <c r="F116" s="8"/>
      <c r="G116" s="8">
        <f aca="true" t="shared" si="34" ref="G116:X116">$B73*$B106</f>
        <v>147.25106091718</v>
      </c>
      <c r="H116" s="8">
        <f t="shared" si="34"/>
        <v>147.25106091718</v>
      </c>
      <c r="I116" s="8">
        <f t="shared" si="34"/>
        <v>147.25106091718</v>
      </c>
      <c r="J116" s="8">
        <f t="shared" si="34"/>
        <v>147.25106091718</v>
      </c>
      <c r="K116" s="8">
        <f t="shared" si="34"/>
        <v>147.25106091718</v>
      </c>
      <c r="L116" s="8">
        <f t="shared" si="34"/>
        <v>147.25106091718</v>
      </c>
      <c r="M116" s="8">
        <f t="shared" si="34"/>
        <v>147.25106091718</v>
      </c>
      <c r="N116" s="8">
        <f t="shared" si="34"/>
        <v>147.25106091718</v>
      </c>
      <c r="O116" s="8">
        <f t="shared" si="34"/>
        <v>147.25106091718</v>
      </c>
      <c r="P116" s="8">
        <f t="shared" si="34"/>
        <v>147.25106091718</v>
      </c>
      <c r="Q116" s="8">
        <f t="shared" si="34"/>
        <v>147.25106091718</v>
      </c>
      <c r="R116" s="8">
        <f t="shared" si="34"/>
        <v>147.25106091718</v>
      </c>
      <c r="S116" s="8">
        <f t="shared" si="34"/>
        <v>147.25106091718</v>
      </c>
      <c r="T116" s="8">
        <f t="shared" si="34"/>
        <v>147.25106091718</v>
      </c>
      <c r="U116" s="8">
        <f t="shared" si="34"/>
        <v>147.25106091718</v>
      </c>
      <c r="V116" s="8">
        <f t="shared" si="34"/>
        <v>147.25106091718</v>
      </c>
      <c r="W116" s="8">
        <f t="shared" si="34"/>
        <v>147.25106091718</v>
      </c>
      <c r="X116" s="8">
        <f t="shared" si="34"/>
        <v>147.25106091718</v>
      </c>
      <c r="Y116" s="8">
        <f aca="true" t="shared" si="35" ref="Y116:AJ116">$C73*$C106</f>
        <v>161.1903049257232</v>
      </c>
      <c r="Z116" s="8">
        <f t="shared" si="35"/>
        <v>161.1903049257232</v>
      </c>
      <c r="AA116" s="8">
        <f t="shared" si="35"/>
        <v>161.1903049257232</v>
      </c>
      <c r="AB116" s="8">
        <f t="shared" si="35"/>
        <v>161.1903049257232</v>
      </c>
      <c r="AC116" s="8">
        <f t="shared" si="35"/>
        <v>161.1903049257232</v>
      </c>
      <c r="AD116" s="8">
        <f t="shared" si="35"/>
        <v>161.1903049257232</v>
      </c>
      <c r="AE116" s="8">
        <f t="shared" si="35"/>
        <v>161.1903049257232</v>
      </c>
      <c r="AF116" s="8">
        <f t="shared" si="35"/>
        <v>161.1903049257232</v>
      </c>
      <c r="AG116" s="8">
        <f t="shared" si="35"/>
        <v>161.1903049257232</v>
      </c>
      <c r="AH116" s="8">
        <f t="shared" si="35"/>
        <v>161.1903049257232</v>
      </c>
      <c r="AI116" s="8">
        <f t="shared" si="35"/>
        <v>161.1903049257232</v>
      </c>
      <c r="AJ116" s="8">
        <f t="shared" si="35"/>
        <v>161.1903049257232</v>
      </c>
      <c r="AK116" s="8">
        <f aca="true" t="shared" si="36" ref="AK116:AP116">$D73*$D106</f>
        <v>161.6747996438112</v>
      </c>
      <c r="AL116" s="8">
        <f t="shared" si="36"/>
        <v>161.6747996438112</v>
      </c>
      <c r="AM116" s="8">
        <f t="shared" si="36"/>
        <v>161.6747996438112</v>
      </c>
      <c r="AN116" s="8">
        <f t="shared" si="36"/>
        <v>161.6747996438112</v>
      </c>
      <c r="AO116" s="8">
        <f t="shared" si="36"/>
        <v>161.6747996438112</v>
      </c>
      <c r="AP116" s="8">
        <f t="shared" si="36"/>
        <v>161.6747996438112</v>
      </c>
      <c r="AQ116" s="8">
        <f aca="true" t="shared" si="37" ref="AQ116:AV116">$D73*$D106</f>
        <v>161.6747996438112</v>
      </c>
      <c r="AR116" s="8">
        <f t="shared" si="37"/>
        <v>161.6747996438112</v>
      </c>
      <c r="AS116" s="8">
        <f t="shared" si="37"/>
        <v>161.6747996438112</v>
      </c>
      <c r="AT116" s="8">
        <f t="shared" si="37"/>
        <v>161.6747996438112</v>
      </c>
      <c r="AU116" s="8">
        <f t="shared" si="37"/>
        <v>161.6747996438112</v>
      </c>
      <c r="AV116" s="8">
        <f t="shared" si="37"/>
        <v>161.6747996438112</v>
      </c>
      <c r="AW116" s="8">
        <f>$D73*$D106</f>
        <v>161.6747996438112</v>
      </c>
      <c r="AX116" s="8">
        <f>$D73*$D106</f>
        <v>161.6747996438112</v>
      </c>
      <c r="AY116" s="8">
        <f>$E73*$E106</f>
        <v>170.0818892252894</v>
      </c>
      <c r="AZ116" s="8">
        <f>$E73*$E106</f>
        <v>170.0818892252894</v>
      </c>
      <c r="BA116" s="8"/>
      <c r="BB116" s="8">
        <f aca="true" t="shared" si="38" ref="BB116:BI116">$D73*$D106</f>
        <v>161.6747996438112</v>
      </c>
      <c r="BC116" s="8">
        <f t="shared" si="38"/>
        <v>161.6747996438112</v>
      </c>
      <c r="BD116" s="8">
        <f t="shared" si="38"/>
        <v>161.6747996438112</v>
      </c>
      <c r="BE116" s="8">
        <f t="shared" si="38"/>
        <v>161.6747996438112</v>
      </c>
      <c r="BF116" s="8">
        <f t="shared" si="38"/>
        <v>161.6747996438112</v>
      </c>
      <c r="BG116" s="8">
        <f t="shared" si="38"/>
        <v>161.6747996438112</v>
      </c>
      <c r="BH116" s="8">
        <f t="shared" si="38"/>
        <v>161.6747996438112</v>
      </c>
      <c r="BI116" s="8">
        <f t="shared" si="38"/>
        <v>161.6747996438112</v>
      </c>
    </row>
    <row r="117" spans="1:61" ht="15">
      <c r="A117" s="9" t="s">
        <v>116</v>
      </c>
      <c r="B117" s="8">
        <f>B73*B107</f>
        <v>90.25065023956193</v>
      </c>
      <c r="C117" s="8">
        <f>C73*C107</f>
        <v>98.79405785770133</v>
      </c>
      <c r="D117" s="8">
        <f>D73*D107</f>
        <v>99.09100623330366</v>
      </c>
      <c r="E117" s="8">
        <f>E73*E107</f>
        <v>104.24373855743544</v>
      </c>
      <c r="F117" s="8"/>
      <c r="G117" s="8">
        <f aca="true" t="shared" si="39" ref="G117:X117">$B73*$B107</f>
        <v>90.25065023956193</v>
      </c>
      <c r="H117" s="8">
        <f t="shared" si="39"/>
        <v>90.25065023956193</v>
      </c>
      <c r="I117" s="8">
        <f t="shared" si="39"/>
        <v>90.25065023956193</v>
      </c>
      <c r="J117" s="8">
        <f t="shared" si="39"/>
        <v>90.25065023956193</v>
      </c>
      <c r="K117" s="8">
        <f t="shared" si="39"/>
        <v>90.25065023956193</v>
      </c>
      <c r="L117" s="8">
        <f t="shared" si="39"/>
        <v>90.25065023956193</v>
      </c>
      <c r="M117" s="8">
        <f t="shared" si="39"/>
        <v>90.25065023956193</v>
      </c>
      <c r="N117" s="8">
        <f t="shared" si="39"/>
        <v>90.25065023956193</v>
      </c>
      <c r="O117" s="8">
        <f t="shared" si="39"/>
        <v>90.25065023956193</v>
      </c>
      <c r="P117" s="8">
        <f t="shared" si="39"/>
        <v>90.25065023956193</v>
      </c>
      <c r="Q117" s="8">
        <f t="shared" si="39"/>
        <v>90.25065023956193</v>
      </c>
      <c r="R117" s="8">
        <f t="shared" si="39"/>
        <v>90.25065023956193</v>
      </c>
      <c r="S117" s="8">
        <f t="shared" si="39"/>
        <v>90.25065023956193</v>
      </c>
      <c r="T117" s="8">
        <f t="shared" si="39"/>
        <v>90.25065023956193</v>
      </c>
      <c r="U117" s="8">
        <f t="shared" si="39"/>
        <v>90.25065023956193</v>
      </c>
      <c r="V117" s="8">
        <f t="shared" si="39"/>
        <v>90.25065023956193</v>
      </c>
      <c r="W117" s="8">
        <f t="shared" si="39"/>
        <v>90.25065023956193</v>
      </c>
      <c r="X117" s="8">
        <f t="shared" si="39"/>
        <v>90.25065023956193</v>
      </c>
      <c r="Y117" s="8">
        <f aca="true" t="shared" si="40" ref="Y117:AJ117">$C73*$C107</f>
        <v>98.79405785770133</v>
      </c>
      <c r="Z117" s="8">
        <f t="shared" si="40"/>
        <v>98.79405785770133</v>
      </c>
      <c r="AA117" s="8">
        <f t="shared" si="40"/>
        <v>98.79405785770133</v>
      </c>
      <c r="AB117" s="8">
        <f t="shared" si="40"/>
        <v>98.79405785770133</v>
      </c>
      <c r="AC117" s="8">
        <f t="shared" si="40"/>
        <v>98.79405785770133</v>
      </c>
      <c r="AD117" s="8">
        <f t="shared" si="40"/>
        <v>98.79405785770133</v>
      </c>
      <c r="AE117" s="8">
        <f t="shared" si="40"/>
        <v>98.79405785770133</v>
      </c>
      <c r="AF117" s="8">
        <f t="shared" si="40"/>
        <v>98.79405785770133</v>
      </c>
      <c r="AG117" s="8">
        <f t="shared" si="40"/>
        <v>98.79405785770133</v>
      </c>
      <c r="AH117" s="8">
        <f t="shared" si="40"/>
        <v>98.79405785770133</v>
      </c>
      <c r="AI117" s="8">
        <f t="shared" si="40"/>
        <v>98.79405785770133</v>
      </c>
      <c r="AJ117" s="8">
        <f t="shared" si="40"/>
        <v>98.79405785770133</v>
      </c>
      <c r="AK117" s="8">
        <f aca="true" t="shared" si="41" ref="AK117:AP117">$D73*$D107</f>
        <v>99.09100623330366</v>
      </c>
      <c r="AL117" s="8">
        <f t="shared" si="41"/>
        <v>99.09100623330366</v>
      </c>
      <c r="AM117" s="8">
        <f t="shared" si="41"/>
        <v>99.09100623330366</v>
      </c>
      <c r="AN117" s="8">
        <f t="shared" si="41"/>
        <v>99.09100623330366</v>
      </c>
      <c r="AO117" s="8">
        <f t="shared" si="41"/>
        <v>99.09100623330366</v>
      </c>
      <c r="AP117" s="8">
        <f t="shared" si="41"/>
        <v>99.09100623330366</v>
      </c>
      <c r="AQ117" s="8">
        <f aca="true" t="shared" si="42" ref="AQ117:AV117">$D73*$D107</f>
        <v>99.09100623330366</v>
      </c>
      <c r="AR117" s="8">
        <f t="shared" si="42"/>
        <v>99.09100623330366</v>
      </c>
      <c r="AS117" s="8">
        <f t="shared" si="42"/>
        <v>99.09100623330366</v>
      </c>
      <c r="AT117" s="8">
        <f t="shared" si="42"/>
        <v>99.09100623330366</v>
      </c>
      <c r="AU117" s="8">
        <f t="shared" si="42"/>
        <v>99.09100623330366</v>
      </c>
      <c r="AV117" s="8">
        <f t="shared" si="42"/>
        <v>99.09100623330366</v>
      </c>
      <c r="AW117" s="8">
        <f>$D73*$D107</f>
        <v>99.09100623330366</v>
      </c>
      <c r="AX117" s="8">
        <f>$D73*$D107</f>
        <v>99.09100623330366</v>
      </c>
      <c r="AY117" s="8">
        <f>$E73*$E107</f>
        <v>104.24373855743544</v>
      </c>
      <c r="AZ117" s="8">
        <f>$E73*$E107</f>
        <v>104.24373855743544</v>
      </c>
      <c r="BA117" s="8"/>
      <c r="BB117" s="8">
        <f aca="true" t="shared" si="43" ref="BB117:BI117">$D73*$D107</f>
        <v>99.09100623330366</v>
      </c>
      <c r="BC117" s="8">
        <f t="shared" si="43"/>
        <v>99.09100623330366</v>
      </c>
      <c r="BD117" s="8">
        <f t="shared" si="43"/>
        <v>99.09100623330366</v>
      </c>
      <c r="BE117" s="8">
        <f t="shared" si="43"/>
        <v>99.09100623330366</v>
      </c>
      <c r="BF117" s="8">
        <f t="shared" si="43"/>
        <v>99.09100623330366</v>
      </c>
      <c r="BG117" s="8">
        <f t="shared" si="43"/>
        <v>99.09100623330366</v>
      </c>
      <c r="BH117" s="8">
        <f t="shared" si="43"/>
        <v>99.09100623330366</v>
      </c>
      <c r="BI117" s="8">
        <f t="shared" si="43"/>
        <v>99.09100623330366</v>
      </c>
    </row>
    <row r="118" spans="1:61" ht="15">
      <c r="A118" s="22" t="s">
        <v>117</v>
      </c>
      <c r="B118" s="7"/>
      <c r="C118" s="7"/>
      <c r="D118" s="7"/>
      <c r="E118" s="7"/>
      <c r="F118" s="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9" t="s">
        <v>111</v>
      </c>
      <c r="B119" s="8">
        <f>+-PMT(B67,B69,B112,0)</f>
        <v>70.7534532544357</v>
      </c>
      <c r="C119" s="8">
        <f>+-PMT(C67,C69,C112,0)</f>
        <v>70.12780697139982</v>
      </c>
      <c r="D119" s="8">
        <f>+-PMT(D67,D69,D112,0)</f>
        <v>68.337858800789</v>
      </c>
      <c r="E119" s="8">
        <f>+-PMT(E67,E69,E112,0)</f>
        <v>71.89142745843002</v>
      </c>
      <c r="F119" s="7"/>
      <c r="G119" s="8">
        <f aca="true" t="shared" si="44" ref="G119:X119">+-PMT(G67,$B69,$B112,0)</f>
        <v>70.23716371366638</v>
      </c>
      <c r="H119" s="8">
        <f t="shared" si="44"/>
        <v>68.98256252320617</v>
      </c>
      <c r="I119" s="8">
        <f t="shared" si="44"/>
        <v>69.09617845600845</v>
      </c>
      <c r="J119" s="8">
        <f t="shared" si="44"/>
        <v>69.95109738954002</v>
      </c>
      <c r="K119" s="8">
        <f t="shared" si="44"/>
        <v>71.4445661781992</v>
      </c>
      <c r="L119" s="8">
        <f t="shared" si="44"/>
        <v>73.12749899979895</v>
      </c>
      <c r="M119" s="8">
        <f t="shared" si="44"/>
        <v>72.952572682017</v>
      </c>
      <c r="N119" s="8">
        <f t="shared" si="44"/>
        <v>71.32916505481131</v>
      </c>
      <c r="O119" s="8">
        <f t="shared" si="44"/>
        <v>69.89394955435934</v>
      </c>
      <c r="P119" s="8">
        <f t="shared" si="44"/>
        <v>70.12267180338323</v>
      </c>
      <c r="Q119" s="8">
        <f t="shared" si="44"/>
        <v>67.7949347808495</v>
      </c>
      <c r="R119" s="8">
        <f t="shared" si="44"/>
        <v>66.72888018324886</v>
      </c>
      <c r="S119" s="8">
        <f t="shared" si="44"/>
        <v>64.84154024368544</v>
      </c>
      <c r="T119" s="8">
        <f t="shared" si="44"/>
        <v>65.00701157876155</v>
      </c>
      <c r="U119" s="8">
        <f t="shared" si="44"/>
        <v>64.89667446060045</v>
      </c>
      <c r="V119" s="8">
        <f t="shared" si="44"/>
        <v>64.45624285596456</v>
      </c>
      <c r="W119" s="8">
        <f t="shared" si="44"/>
        <v>64.78642893694995</v>
      </c>
      <c r="X119" s="8">
        <f t="shared" si="44"/>
        <v>68.18972415327092</v>
      </c>
      <c r="Y119" s="8">
        <f aca="true" t="shared" si="45" ref="Y119:AJ119">+-PMT(Y67,$C69,$C112,0)</f>
        <v>68.98292295249989</v>
      </c>
      <c r="Z119" s="8">
        <f t="shared" si="45"/>
        <v>69.21024404222659</v>
      </c>
      <c r="AA119" s="8">
        <f t="shared" si="45"/>
        <v>69.03972020504239</v>
      </c>
      <c r="AB119" s="8">
        <f t="shared" si="45"/>
        <v>68.92614773344208</v>
      </c>
      <c r="AC119" s="8">
        <f t="shared" si="45"/>
        <v>69.15338076204772</v>
      </c>
      <c r="AD119" s="8">
        <f t="shared" si="45"/>
        <v>68.92614773344208</v>
      </c>
      <c r="AE119" s="8">
        <f t="shared" si="45"/>
        <v>67.18645655809274</v>
      </c>
      <c r="AF119" s="8">
        <f t="shared" si="45"/>
        <v>68.30307799649536</v>
      </c>
      <c r="AG119" s="8">
        <f t="shared" si="45"/>
        <v>67.96435185437275</v>
      </c>
      <c r="AH119" s="8">
        <f t="shared" si="45"/>
        <v>67.96435185437275</v>
      </c>
      <c r="AI119" s="8">
        <f t="shared" si="45"/>
        <v>67.96435185437275</v>
      </c>
      <c r="AJ119" s="8">
        <f t="shared" si="45"/>
        <v>67.28930522506643</v>
      </c>
      <c r="AK119" s="8">
        <f aca="true" t="shared" si="46" ref="AK119:AP119">+-PMT(AK67,$D69,$D112,0)</f>
        <v>67.32225509906314</v>
      </c>
      <c r="AL119" s="8">
        <f t="shared" si="46"/>
        <v>66.70519220804624</v>
      </c>
      <c r="AM119" s="8">
        <f t="shared" si="46"/>
        <v>65.75694054868681</v>
      </c>
      <c r="AN119" s="8">
        <f t="shared" si="46"/>
        <v>65.59028520925798</v>
      </c>
      <c r="AO119" s="8">
        <f t="shared" si="46"/>
        <v>64.5946852178328</v>
      </c>
      <c r="AP119" s="8">
        <f t="shared" si="46"/>
        <v>63.8802857485055</v>
      </c>
      <c r="AQ119" s="8">
        <f aca="true" t="shared" si="47" ref="AQ119:AV119">+-PMT(AQ67,$D69,$D112,0)</f>
        <v>64.0447997757273</v>
      </c>
      <c r="AR119" s="8">
        <f t="shared" si="47"/>
        <v>66.52340143537369</v>
      </c>
      <c r="AS119" s="8">
        <f t="shared" si="47"/>
        <v>65.9238013373441</v>
      </c>
      <c r="AT119" s="8">
        <f t="shared" si="47"/>
        <v>65.9238013373441</v>
      </c>
      <c r="AU119" s="8">
        <f t="shared" si="47"/>
        <v>65.9238013373441</v>
      </c>
      <c r="AV119" s="8">
        <f t="shared" si="47"/>
        <v>65.9238013373441</v>
      </c>
      <c r="AW119" s="8">
        <f>+-PMT(AW67,$D69,$D112,0)</f>
        <v>65.9238013373441</v>
      </c>
      <c r="AX119" s="8">
        <f>+-PMT(AX67,$D69,$D112,0)</f>
        <v>65.9238013373441</v>
      </c>
      <c r="AY119" s="8">
        <f>+-PMT(AY67,$E69,$E112,0)</f>
        <v>69.351839006886</v>
      </c>
      <c r="AZ119" s="8">
        <f>+-PMT(AZ67,$E69,$E112,0)</f>
        <v>69.351839006886</v>
      </c>
      <c r="BA119" s="8"/>
      <c r="BB119" s="8" t="e">
        <f aca="true" t="shared" si="48" ref="BB119:BI119">+-PMT(BB67,$D69,$D112,0)</f>
        <v>#REF!</v>
      </c>
      <c r="BC119" s="8" t="e">
        <f t="shared" si="48"/>
        <v>#REF!</v>
      </c>
      <c r="BD119" s="8">
        <f t="shared" si="48"/>
        <v>65.9238013373441</v>
      </c>
      <c r="BE119" s="8">
        <f t="shared" si="48"/>
        <v>65.9238013373441</v>
      </c>
      <c r="BF119" s="8">
        <f t="shared" si="48"/>
        <v>65.9238013373441</v>
      </c>
      <c r="BG119" s="8">
        <f t="shared" si="48"/>
        <v>65.9238013373441</v>
      </c>
      <c r="BH119" s="8">
        <f t="shared" si="48"/>
        <v>65.9238013373441</v>
      </c>
      <c r="BI119" s="8">
        <f t="shared" si="48"/>
        <v>65.9238013373441</v>
      </c>
    </row>
    <row r="120" spans="1:61" ht="15">
      <c r="A120" s="9" t="s">
        <v>112</v>
      </c>
      <c r="B120" s="8">
        <f>+-PMT(B67,B68,B113,0)</f>
        <v>67.60267626732954</v>
      </c>
      <c r="C120" s="8">
        <f>+-PMT(C67,C68,C113,0)</f>
        <v>67.2537320350328</v>
      </c>
      <c r="D120" s="8">
        <f>+-PMT(D67,D68,D113,0)</f>
        <v>66.33534024585175</v>
      </c>
      <c r="E120" s="8">
        <f>+-PMT(E67,E68,E113,0)</f>
        <v>69.78477793863605</v>
      </c>
      <c r="F120" s="8"/>
      <c r="G120" s="8">
        <f aca="true" t="shared" si="49" ref="G120:X120">+-PMT(G67,$B68,$B113,0)</f>
        <v>67.31464447482628</v>
      </c>
      <c r="H120" s="8">
        <f t="shared" si="49"/>
        <v>66.61305689329487</v>
      </c>
      <c r="I120" s="8">
        <f t="shared" si="49"/>
        <v>66.67669118358012</v>
      </c>
      <c r="J120" s="8">
        <f t="shared" si="49"/>
        <v>67.15488203826833</v>
      </c>
      <c r="K120" s="8">
        <f t="shared" si="49"/>
        <v>67.9876354831756</v>
      </c>
      <c r="L120" s="8">
        <f t="shared" si="49"/>
        <v>68.92226128481857</v>
      </c>
      <c r="M120" s="8">
        <f t="shared" si="49"/>
        <v>68.82529417340491</v>
      </c>
      <c r="N120" s="8">
        <f t="shared" si="49"/>
        <v>67.92340296542886</v>
      </c>
      <c r="O120" s="8">
        <f t="shared" si="49"/>
        <v>67.12295145470243</v>
      </c>
      <c r="P120" s="8">
        <f t="shared" si="49"/>
        <v>67.25071760371324</v>
      </c>
      <c r="Q120" s="8">
        <f t="shared" si="49"/>
        <v>65.94667085014255</v>
      </c>
      <c r="R120" s="8">
        <f t="shared" si="49"/>
        <v>65.34655106948586</v>
      </c>
      <c r="S120" s="8">
        <f t="shared" si="49"/>
        <v>64.27933317118067</v>
      </c>
      <c r="T120" s="8">
        <f t="shared" si="49"/>
        <v>64.37315330412022</v>
      </c>
      <c r="U120" s="8">
        <f t="shared" si="49"/>
        <v>64.31059908538187</v>
      </c>
      <c r="V120" s="8">
        <f t="shared" si="49"/>
        <v>64.06068091138134</v>
      </c>
      <c r="W120" s="8">
        <f t="shared" si="49"/>
        <v>64.24807472275693</v>
      </c>
      <c r="X120" s="8">
        <f t="shared" si="49"/>
        <v>66.16843911885442</v>
      </c>
      <c r="Y120" s="8">
        <f aca="true" t="shared" si="50" ref="Y120:AJ120">+-PMT(Y67,$C68,$C113,0)</f>
        <v>66.61340494207953</v>
      </c>
      <c r="Z120" s="8">
        <f t="shared" si="50"/>
        <v>66.74070351091073</v>
      </c>
      <c r="AA120" s="8">
        <f t="shared" si="50"/>
        <v>66.64521858715192</v>
      </c>
      <c r="AB120" s="8">
        <f t="shared" si="50"/>
        <v>66.58159863143443</v>
      </c>
      <c r="AC120" s="8">
        <f t="shared" si="50"/>
        <v>66.70886787337037</v>
      </c>
      <c r="AD120" s="8">
        <f t="shared" si="50"/>
        <v>66.58159863143443</v>
      </c>
      <c r="AE120" s="8">
        <f t="shared" si="50"/>
        <v>65.60451317232224</v>
      </c>
      <c r="AF120" s="8">
        <f t="shared" si="50"/>
        <v>66.23221380119094</v>
      </c>
      <c r="AG120" s="8">
        <f t="shared" si="50"/>
        <v>66.04201526055155</v>
      </c>
      <c r="AH120" s="8">
        <f t="shared" si="50"/>
        <v>66.04201526055155</v>
      </c>
      <c r="AI120" s="8">
        <f t="shared" si="50"/>
        <v>66.04201526055155</v>
      </c>
      <c r="AJ120" s="8">
        <f t="shared" si="50"/>
        <v>65.66241417344389</v>
      </c>
      <c r="AK120" s="8">
        <f aca="true" t="shared" si="51" ref="AK120:AP120">+-PMT(AK67,$D68,$D113,0)</f>
        <v>65.76423196409672</v>
      </c>
      <c r="AL120" s="8">
        <f t="shared" si="51"/>
        <v>65.41640348006275</v>
      </c>
      <c r="AM120" s="8">
        <f t="shared" si="51"/>
        <v>64.8806207993757</v>
      </c>
      <c r="AN120" s="8">
        <f t="shared" si="51"/>
        <v>64.78629462722003</v>
      </c>
      <c r="AO120" s="8">
        <f t="shared" si="51"/>
        <v>64.22175120285036</v>
      </c>
      <c r="AP120" s="8">
        <f t="shared" si="51"/>
        <v>63.81553649986709</v>
      </c>
      <c r="AQ120" s="8">
        <f aca="true" t="shared" si="52" ref="AQ120:AV120">+-PMT(AQ67,$D68,$D113,0)</f>
        <v>63.90916562077699</v>
      </c>
      <c r="AR120" s="8">
        <f t="shared" si="52"/>
        <v>65.31380803948043</v>
      </c>
      <c r="AS120" s="8">
        <f t="shared" si="52"/>
        <v>64.97501415953387</v>
      </c>
      <c r="AT120" s="8">
        <f t="shared" si="52"/>
        <v>64.97501415953387</v>
      </c>
      <c r="AU120" s="8">
        <f t="shared" si="52"/>
        <v>64.97501415953387</v>
      </c>
      <c r="AV120" s="8">
        <f t="shared" si="52"/>
        <v>64.97501415953387</v>
      </c>
      <c r="AW120" s="8">
        <f>+-PMT(AW67,$D68,$D113,0)</f>
        <v>64.97501415953387</v>
      </c>
      <c r="AX120" s="8">
        <f>+-PMT(AX67,$D68,$D113,0)</f>
        <v>64.97501415953387</v>
      </c>
      <c r="AY120" s="8">
        <f>+-PMT(AY67,$E68,$E113,0)</f>
        <v>68.35371489582964</v>
      </c>
      <c r="AZ120" s="8">
        <f>+-PMT(AZ67,$E68,$E113,0)</f>
        <v>68.35371489582964</v>
      </c>
      <c r="BA120" s="8"/>
      <c r="BB120" s="8" t="e">
        <f aca="true" t="shared" si="53" ref="BB120:BI120">+-PMT(BB67,$D68,$D113,0)</f>
        <v>#REF!</v>
      </c>
      <c r="BC120" s="8" t="e">
        <f t="shared" si="53"/>
        <v>#REF!</v>
      </c>
      <c r="BD120" s="8">
        <f t="shared" si="53"/>
        <v>64.97501415953387</v>
      </c>
      <c r="BE120" s="8">
        <f t="shared" si="53"/>
        <v>64.97501415953387</v>
      </c>
      <c r="BF120" s="8">
        <f t="shared" si="53"/>
        <v>64.97501415953387</v>
      </c>
      <c r="BG120" s="8">
        <f t="shared" si="53"/>
        <v>64.97501415953387</v>
      </c>
      <c r="BH120" s="8">
        <f t="shared" si="53"/>
        <v>64.97501415953387</v>
      </c>
      <c r="BI120" s="8">
        <f t="shared" si="53"/>
        <v>64.97501415953387</v>
      </c>
    </row>
    <row r="121" spans="1:61" ht="15">
      <c r="A121" s="9" t="s">
        <v>113</v>
      </c>
      <c r="B121" s="8">
        <f>+-PMT(B67,B69,B114,0)</f>
        <v>4.591081749134422</v>
      </c>
      <c r="C121" s="8">
        <f>+-PMT(C67,C69,C114,0)</f>
        <v>5.032239065689082</v>
      </c>
      <c r="D121" s="8">
        <f>+-PMT(D67,D69,D114,0)</f>
        <v>4.903704738487291</v>
      </c>
      <c r="E121" s="8">
        <f>+-PMT(E67,E69,E114,0)</f>
        <v>5.15869738488863</v>
      </c>
      <c r="F121" s="8"/>
      <c r="G121" s="8">
        <f aca="true" t="shared" si="54" ref="G121:X121">+-PMT(G67,$B69,$B114,0)</f>
        <v>4.557580522284459</v>
      </c>
      <c r="H121" s="8">
        <f t="shared" si="54"/>
        <v>4.476171398587687</v>
      </c>
      <c r="I121" s="8">
        <f t="shared" si="54"/>
        <v>4.483543760098065</v>
      </c>
      <c r="J121" s="8">
        <f t="shared" si="54"/>
        <v>4.539018122580582</v>
      </c>
      <c r="K121" s="8">
        <f t="shared" si="54"/>
        <v>4.635926993923694</v>
      </c>
      <c r="L121" s="8">
        <f t="shared" si="54"/>
        <v>4.745129892254053</v>
      </c>
      <c r="M121" s="8">
        <f t="shared" si="54"/>
        <v>4.733779195036153</v>
      </c>
      <c r="N121" s="8">
        <f t="shared" si="54"/>
        <v>4.628438794167415</v>
      </c>
      <c r="O121" s="8">
        <f t="shared" si="54"/>
        <v>4.535309888267875</v>
      </c>
      <c r="P121" s="8">
        <f t="shared" si="54"/>
        <v>4.550151319955151</v>
      </c>
      <c r="Q121" s="8">
        <f t="shared" si="54"/>
        <v>4.3991080779736125</v>
      </c>
      <c r="R121" s="8">
        <f t="shared" si="54"/>
        <v>4.329933450001398</v>
      </c>
      <c r="S121" s="8">
        <f t="shared" si="54"/>
        <v>4.20746689109321</v>
      </c>
      <c r="T121" s="8">
        <f t="shared" si="54"/>
        <v>4.21820406916056</v>
      </c>
      <c r="U121" s="8">
        <f t="shared" si="54"/>
        <v>4.211044464842452</v>
      </c>
      <c r="V121" s="8">
        <f t="shared" si="54"/>
        <v>4.182465541711813</v>
      </c>
      <c r="W121" s="8">
        <f t="shared" si="54"/>
        <v>4.203890803949953</v>
      </c>
      <c r="X121" s="8">
        <f t="shared" si="54"/>
        <v>4.424725347507558</v>
      </c>
      <c r="Y121" s="8">
        <f aca="true" t="shared" si="55" ref="Y121:AJ121">+-PMT(Y67,$C69,$C114,0)</f>
        <v>4.950084349401704</v>
      </c>
      <c r="Z121" s="8">
        <f t="shared" si="55"/>
        <v>4.96639648174379</v>
      </c>
      <c r="AA121" s="8">
        <f t="shared" si="55"/>
        <v>4.954160013042301</v>
      </c>
      <c r="AB121" s="8">
        <f t="shared" si="55"/>
        <v>4.946010266842381</v>
      </c>
      <c r="AC121" s="8">
        <f t="shared" si="55"/>
        <v>4.962316080084631</v>
      </c>
      <c r="AD121" s="8">
        <f t="shared" si="55"/>
        <v>4.946010266842381</v>
      </c>
      <c r="AE121" s="8">
        <f t="shared" si="55"/>
        <v>4.821173311675684</v>
      </c>
      <c r="AF121" s="8">
        <f t="shared" si="55"/>
        <v>4.901299958530721</v>
      </c>
      <c r="AG121" s="8">
        <f t="shared" si="55"/>
        <v>4.87699360989993</v>
      </c>
      <c r="AH121" s="8">
        <f t="shared" si="55"/>
        <v>4.87699360989993</v>
      </c>
      <c r="AI121" s="8">
        <f t="shared" si="55"/>
        <v>4.87699360989993</v>
      </c>
      <c r="AJ121" s="8">
        <f t="shared" si="55"/>
        <v>4.828553537896219</v>
      </c>
      <c r="AK121" s="8">
        <f aca="true" t="shared" si="56" ref="AK121:AP121">+-PMT(AK67,$D69,$D114,0)</f>
        <v>4.830828286518024</v>
      </c>
      <c r="AL121" s="8">
        <f t="shared" si="56"/>
        <v>4.7865498400503785</v>
      </c>
      <c r="AM121" s="8">
        <f t="shared" si="56"/>
        <v>4.718506353806036</v>
      </c>
      <c r="AN121" s="8">
        <f t="shared" si="56"/>
        <v>4.706547703184079</v>
      </c>
      <c r="AO121" s="8">
        <f t="shared" si="56"/>
        <v>4.63510665306541</v>
      </c>
      <c r="AP121" s="8">
        <f t="shared" si="56"/>
        <v>4.583843647106661</v>
      </c>
      <c r="AQ121" s="8">
        <f aca="true" t="shared" si="57" ref="AQ121:AV121">+-PMT(AQ67,$D69,$D114,0)</f>
        <v>4.595648644058451</v>
      </c>
      <c r="AR121" s="8">
        <f t="shared" si="57"/>
        <v>4.773505119466342</v>
      </c>
      <c r="AS121" s="8">
        <f t="shared" si="57"/>
        <v>4.7304797468032</v>
      </c>
      <c r="AT121" s="8">
        <f t="shared" si="57"/>
        <v>4.7304797468032</v>
      </c>
      <c r="AU121" s="8">
        <f t="shared" si="57"/>
        <v>4.7304797468032</v>
      </c>
      <c r="AV121" s="8">
        <f t="shared" si="57"/>
        <v>4.7304797468032</v>
      </c>
      <c r="AW121" s="8">
        <f>+-PMT(AW67,$D69,$D114,0)</f>
        <v>4.7304797468032</v>
      </c>
      <c r="AX121" s="8">
        <f>+-PMT(AX67,$D69,$D114,0)</f>
        <v>4.7304797468032</v>
      </c>
      <c r="AY121" s="8">
        <f>+-PMT(AY67,$E69,$E114,0)</f>
        <v>4.9764646936369665</v>
      </c>
      <c r="AZ121" s="8">
        <f>+-PMT(AZ67,$E69,$E114,0)</f>
        <v>4.9764646936369665</v>
      </c>
      <c r="BA121" s="8"/>
      <c r="BB121" s="8" t="e">
        <f aca="true" t="shared" si="58" ref="BB121:BI121">+-PMT(BB67,$D69,$D114,0)</f>
        <v>#REF!</v>
      </c>
      <c r="BC121" s="8" t="e">
        <f t="shared" si="58"/>
        <v>#REF!</v>
      </c>
      <c r="BD121" s="8">
        <f t="shared" si="58"/>
        <v>4.7304797468032</v>
      </c>
      <c r="BE121" s="8">
        <f t="shared" si="58"/>
        <v>4.7304797468032</v>
      </c>
      <c r="BF121" s="8">
        <f t="shared" si="58"/>
        <v>4.7304797468032</v>
      </c>
      <c r="BG121" s="8">
        <f t="shared" si="58"/>
        <v>4.7304797468032</v>
      </c>
      <c r="BH121" s="8">
        <f t="shared" si="58"/>
        <v>4.7304797468032</v>
      </c>
      <c r="BI121" s="8">
        <f t="shared" si="58"/>
        <v>4.7304797468032</v>
      </c>
    </row>
    <row r="122" spans="1:61" ht="15">
      <c r="A122" s="9" t="s">
        <v>114</v>
      </c>
      <c r="B122" s="8">
        <f>+-PMT(B67,B68,B115,0)</f>
        <v>4.386632721479522</v>
      </c>
      <c r="C122" s="8">
        <f>+-PMT(C67,C68,C115,0)</f>
        <v>4.826000872921947</v>
      </c>
      <c r="D122" s="8">
        <f>+-PMT(D67,D68,D115,0)</f>
        <v>4.7600104539563715</v>
      </c>
      <c r="E122" s="8">
        <f>+-PMT(E67,E68,E115,0)</f>
        <v>5.007530997562102</v>
      </c>
      <c r="F122" s="8"/>
      <c r="G122" s="8">
        <f aca="true" t="shared" si="59" ref="G122:X122">+-PMT(G67,$B68,$B115,0)</f>
        <v>4.367942785583717</v>
      </c>
      <c r="H122" s="8">
        <f t="shared" si="59"/>
        <v>4.322417856511986</v>
      </c>
      <c r="I122" s="8">
        <f t="shared" si="59"/>
        <v>4.326546986827324</v>
      </c>
      <c r="J122" s="8">
        <f t="shared" si="59"/>
        <v>4.357576049079127</v>
      </c>
      <c r="K122" s="8">
        <f t="shared" si="59"/>
        <v>4.411612127412915</v>
      </c>
      <c r="L122" s="8">
        <f t="shared" si="59"/>
        <v>4.472258544835999</v>
      </c>
      <c r="M122" s="8">
        <f t="shared" si="59"/>
        <v>4.465966499501101</v>
      </c>
      <c r="N122" s="8">
        <f t="shared" si="59"/>
        <v>4.407444179046247</v>
      </c>
      <c r="O122" s="8">
        <f t="shared" si="59"/>
        <v>4.3555041230782665</v>
      </c>
      <c r="P122" s="8">
        <f t="shared" si="59"/>
        <v>4.363794670152645</v>
      </c>
      <c r="Q122" s="8">
        <f t="shared" si="59"/>
        <v>4.27917710062135</v>
      </c>
      <c r="R122" s="8">
        <f t="shared" si="59"/>
        <v>4.240236259637102</v>
      </c>
      <c r="S122" s="8">
        <f t="shared" si="59"/>
        <v>4.1709861468879925</v>
      </c>
      <c r="T122" s="8">
        <f t="shared" si="59"/>
        <v>4.177073989674848</v>
      </c>
      <c r="U122" s="8">
        <f t="shared" si="59"/>
        <v>4.173014943525563</v>
      </c>
      <c r="V122" s="8">
        <f t="shared" si="59"/>
        <v>4.156798141169575</v>
      </c>
      <c r="W122" s="8">
        <f t="shared" si="59"/>
        <v>4.16895783469313</v>
      </c>
      <c r="X122" s="8">
        <f t="shared" si="59"/>
        <v>4.293567299321035</v>
      </c>
      <c r="Y122" s="8">
        <f aca="true" t="shared" si="60" ref="Y122:AJ122">+-PMT(Y67,$C68,$C115,0)</f>
        <v>4.780052209315616</v>
      </c>
      <c r="Z122" s="8">
        <f t="shared" si="60"/>
        <v>4.789186914345533</v>
      </c>
      <c r="AA122" s="8">
        <f t="shared" si="60"/>
        <v>4.782335096439414</v>
      </c>
      <c r="AB122" s="8">
        <f t="shared" si="60"/>
        <v>4.777769848496475</v>
      </c>
      <c r="AC122" s="8">
        <f t="shared" si="60"/>
        <v>4.786902449083742</v>
      </c>
      <c r="AD122" s="8">
        <f t="shared" si="60"/>
        <v>4.777769848496475</v>
      </c>
      <c r="AE122" s="8">
        <f t="shared" si="60"/>
        <v>4.707656040148435</v>
      </c>
      <c r="AF122" s="8">
        <f t="shared" si="60"/>
        <v>4.752698652523851</v>
      </c>
      <c r="AG122" s="8">
        <f t="shared" si="60"/>
        <v>4.739050364237396</v>
      </c>
      <c r="AH122" s="8">
        <f t="shared" si="60"/>
        <v>4.739050364237396</v>
      </c>
      <c r="AI122" s="8">
        <f t="shared" si="60"/>
        <v>4.739050364237396</v>
      </c>
      <c r="AJ122" s="8">
        <f t="shared" si="60"/>
        <v>4.711810906703806</v>
      </c>
      <c r="AK122" s="8">
        <f aca="true" t="shared" si="61" ref="AK122:AP122">+-PMT(AK67,$D68,$D115,0)</f>
        <v>4.71902956230164</v>
      </c>
      <c r="AL122" s="8">
        <f t="shared" si="61"/>
        <v>4.694070510097351</v>
      </c>
      <c r="AM122" s="8">
        <f t="shared" si="61"/>
        <v>4.655624469846903</v>
      </c>
      <c r="AN122" s="8">
        <f t="shared" si="61"/>
        <v>4.648855927409665</v>
      </c>
      <c r="AO122" s="8">
        <f t="shared" si="61"/>
        <v>4.608346108785797</v>
      </c>
      <c r="AP122" s="8">
        <f t="shared" si="61"/>
        <v>4.579197449480142</v>
      </c>
      <c r="AQ122" s="8">
        <f aca="true" t="shared" si="62" ref="AQ122:AV122">+-PMT(AQ67,$D68,$D115,0)</f>
        <v>4.5859159737640915</v>
      </c>
      <c r="AR122" s="8">
        <f t="shared" si="62"/>
        <v>4.6867085915801585</v>
      </c>
      <c r="AS122" s="8">
        <f t="shared" si="62"/>
        <v>4.662397833478893</v>
      </c>
      <c r="AT122" s="8">
        <f t="shared" si="62"/>
        <v>4.662397833478893</v>
      </c>
      <c r="AU122" s="8">
        <f t="shared" si="62"/>
        <v>4.662397833478893</v>
      </c>
      <c r="AV122" s="8">
        <f t="shared" si="62"/>
        <v>4.662397833478893</v>
      </c>
      <c r="AW122" s="8">
        <f>+-PMT(AW67,$D68,$D115,0)</f>
        <v>4.662397833478893</v>
      </c>
      <c r="AX122" s="8">
        <f>+-PMT(AX67,$D68,$D115,0)</f>
        <v>4.662397833478893</v>
      </c>
      <c r="AY122" s="8">
        <f>+-PMT(AY67,$E68,$E115,0)</f>
        <v>4.904842520819796</v>
      </c>
      <c r="AZ122" s="8">
        <f>+-PMT(AZ67,$E68,$E115,0)</f>
        <v>4.904842520819796</v>
      </c>
      <c r="BA122" s="8"/>
      <c r="BB122" s="8" t="e">
        <f aca="true" t="shared" si="63" ref="BB122:BI122">+-PMT(BB67,$D68,$D115,0)</f>
        <v>#REF!</v>
      </c>
      <c r="BC122" s="8" t="e">
        <f t="shared" si="63"/>
        <v>#REF!</v>
      </c>
      <c r="BD122" s="8">
        <f t="shared" si="63"/>
        <v>4.662397833478893</v>
      </c>
      <c r="BE122" s="8">
        <f t="shared" si="63"/>
        <v>4.662397833478893</v>
      </c>
      <c r="BF122" s="8">
        <f t="shared" si="63"/>
        <v>4.662397833478893</v>
      </c>
      <c r="BG122" s="8">
        <f t="shared" si="63"/>
        <v>4.662397833478893</v>
      </c>
      <c r="BH122" s="8">
        <f t="shared" si="63"/>
        <v>4.662397833478893</v>
      </c>
      <c r="BI122" s="8">
        <f t="shared" si="63"/>
        <v>4.662397833478893</v>
      </c>
    </row>
    <row r="123" spans="1:61" ht="15">
      <c r="A123" s="9" t="s">
        <v>115</v>
      </c>
      <c r="B123" s="8">
        <f>+-PMT(B67,B69,B116,0)</f>
        <v>12.827598487254635</v>
      </c>
      <c r="C123" s="8">
        <f>+-PMT(C67,C69,C116,0)</f>
        <v>13.917658938059828</v>
      </c>
      <c r="D123" s="8">
        <f>+-PMT(D67,D69,D116,0)</f>
        <v>13.562532070444073</v>
      </c>
      <c r="E123" s="8">
        <f>+-PMT(E67,E69,E116,0)</f>
        <v>14.267783738107164</v>
      </c>
      <c r="F123" s="8"/>
      <c r="G123" s="8">
        <f aca="true" t="shared" si="64" ref="G123:X123">+-PMT(G67,$B69,$B116,0)</f>
        <v>12.733995212396204</v>
      </c>
      <c r="H123" s="8">
        <f t="shared" si="64"/>
        <v>12.506536062452225</v>
      </c>
      <c r="I123" s="8">
        <f t="shared" si="64"/>
        <v>12.527134626913826</v>
      </c>
      <c r="J123" s="8">
        <f t="shared" si="64"/>
        <v>12.682131398294839</v>
      </c>
      <c r="K123" s="8">
        <f t="shared" si="64"/>
        <v>12.952897235055824</v>
      </c>
      <c r="L123" s="8">
        <f t="shared" si="64"/>
        <v>13.258012894059375</v>
      </c>
      <c r="M123" s="8">
        <f t="shared" si="64"/>
        <v>13.226298759043358</v>
      </c>
      <c r="N123" s="8">
        <f t="shared" si="64"/>
        <v>12.931975015606342</v>
      </c>
      <c r="O123" s="8">
        <f t="shared" si="64"/>
        <v>12.671770497866738</v>
      </c>
      <c r="P123" s="8">
        <f t="shared" si="64"/>
        <v>12.713237833249359</v>
      </c>
      <c r="Q123" s="8">
        <f t="shared" si="64"/>
        <v>12.291219196199888</v>
      </c>
      <c r="R123" s="8">
        <f t="shared" si="64"/>
        <v>12.097943536645346</v>
      </c>
      <c r="S123" s="8">
        <f t="shared" si="64"/>
        <v>11.755768874631075</v>
      </c>
      <c r="T123" s="8">
        <f t="shared" si="64"/>
        <v>11.785768821628334</v>
      </c>
      <c r="U123" s="8">
        <f t="shared" si="64"/>
        <v>11.765764706141256</v>
      </c>
      <c r="V123" s="8">
        <f t="shared" si="64"/>
        <v>11.68591447232935</v>
      </c>
      <c r="W123" s="8">
        <f t="shared" si="64"/>
        <v>11.7457771967356</v>
      </c>
      <c r="X123" s="8">
        <f t="shared" si="64"/>
        <v>12.362794494980658</v>
      </c>
      <c r="Y123" s="8">
        <f aca="true" t="shared" si="65" ref="Y123:AJ123">+-PMT(Y67,$C69,$B116,0)</f>
        <v>12.506536062452225</v>
      </c>
      <c r="Z123" s="8">
        <f t="shared" si="65"/>
        <v>12.547749152369862</v>
      </c>
      <c r="AA123" s="8">
        <f t="shared" si="65"/>
        <v>12.516833348458212</v>
      </c>
      <c r="AB123" s="8">
        <f t="shared" si="65"/>
        <v>12.496242771095332</v>
      </c>
      <c r="AC123" s="8">
        <f t="shared" si="65"/>
        <v>12.53743989561836</v>
      </c>
      <c r="AD123" s="8">
        <f t="shared" si="65"/>
        <v>12.496242771095332</v>
      </c>
      <c r="AE123" s="8">
        <f t="shared" si="65"/>
        <v>12.180838472599339</v>
      </c>
      <c r="AF123" s="8">
        <f t="shared" si="65"/>
        <v>12.383280840793937</v>
      </c>
      <c r="AG123" s="8">
        <f t="shared" si="65"/>
        <v>12.321870124482759</v>
      </c>
      <c r="AH123" s="8">
        <f t="shared" si="65"/>
        <v>12.321870124482759</v>
      </c>
      <c r="AI123" s="8">
        <f t="shared" si="65"/>
        <v>12.321870124482759</v>
      </c>
      <c r="AJ123" s="8">
        <f t="shared" si="65"/>
        <v>12.199484834734026</v>
      </c>
      <c r="AK123" s="8">
        <f aca="true" t="shared" si="66" ref="AK123:AP123">+-PMT(AK67,$D69,$B116,0)</f>
        <v>12.168979716922653</v>
      </c>
      <c r="AL123" s="8">
        <f t="shared" si="66"/>
        <v>12.05744118046393</v>
      </c>
      <c r="AM123" s="8">
        <f t="shared" si="66"/>
        <v>11.886037902420087</v>
      </c>
      <c r="AN123" s="8">
        <f t="shared" si="66"/>
        <v>11.855913756367018</v>
      </c>
      <c r="AO123" s="8">
        <f t="shared" si="66"/>
        <v>11.67595192823167</v>
      </c>
      <c r="AP123" s="8">
        <f t="shared" si="66"/>
        <v>11.546819108197171</v>
      </c>
      <c r="AQ123" s="8">
        <f aca="true" t="shared" si="67" ref="AQ123:AV123">+-PMT(AQ67,$D69,$B116,0)</f>
        <v>11.576556196734465</v>
      </c>
      <c r="AR123" s="8">
        <f t="shared" si="67"/>
        <v>12.024581196464274</v>
      </c>
      <c r="AS123" s="8">
        <f t="shared" si="67"/>
        <v>11.916199184892466</v>
      </c>
      <c r="AT123" s="8">
        <f t="shared" si="67"/>
        <v>11.916199184892466</v>
      </c>
      <c r="AU123" s="8">
        <f t="shared" si="67"/>
        <v>11.916199184892466</v>
      </c>
      <c r="AV123" s="8">
        <f t="shared" si="67"/>
        <v>11.916199184892466</v>
      </c>
      <c r="AW123" s="8">
        <f>+-PMT(AW67,$D69,$B116,0)</f>
        <v>11.916199184892466</v>
      </c>
      <c r="AX123" s="8">
        <f>+-PMT(AX67,$D69,$B116,0)</f>
        <v>11.916199184892466</v>
      </c>
      <c r="AY123" s="8">
        <f>+-PMT(AY67,$E69,$B116,0)</f>
        <v>11.916199184892466</v>
      </c>
      <c r="AZ123" s="8">
        <f>+-PMT(AZ67,$E69,$B116,0)</f>
        <v>11.916199184892466</v>
      </c>
      <c r="BA123" s="8"/>
      <c r="BB123" s="8" t="e">
        <f aca="true" t="shared" si="68" ref="BB123:BI123">+-PMT(BB67,$D69,$B116,0)</f>
        <v>#REF!</v>
      </c>
      <c r="BC123" s="8" t="e">
        <f t="shared" si="68"/>
        <v>#REF!</v>
      </c>
      <c r="BD123" s="8">
        <f t="shared" si="68"/>
        <v>11.916199184892466</v>
      </c>
      <c r="BE123" s="8">
        <f t="shared" si="68"/>
        <v>11.916199184892466</v>
      </c>
      <c r="BF123" s="8">
        <f t="shared" si="68"/>
        <v>11.916199184892466</v>
      </c>
      <c r="BG123" s="8">
        <f t="shared" si="68"/>
        <v>11.916199184892466</v>
      </c>
      <c r="BH123" s="8">
        <f t="shared" si="68"/>
        <v>11.916199184892466</v>
      </c>
      <c r="BI123" s="8">
        <f t="shared" si="68"/>
        <v>11.916199184892466</v>
      </c>
    </row>
    <row r="124" spans="1:61" ht="15">
      <c r="A124" s="9" t="s">
        <v>116</v>
      </c>
      <c r="B124" s="8">
        <f>+-PMT(B67,B68,B117,0)</f>
        <v>12.256362734730489</v>
      </c>
      <c r="C124" s="8">
        <f>+-PMT(C67,C68,C117,0)</f>
        <v>13.347266158729154</v>
      </c>
      <c r="D124" s="8">
        <f>+-PMT(D67,D68,D117,0)</f>
        <v>13.165106359431281</v>
      </c>
      <c r="E124" s="8">
        <f>+-PMT(E67,E68,E117,0)</f>
        <v>13.849691890121704</v>
      </c>
      <c r="F124" s="8"/>
      <c r="G124" s="8">
        <f aca="true" t="shared" si="69" ref="G124:X124">+-PMT(G67,$B68,$B117,0)</f>
        <v>12.204142581284271</v>
      </c>
      <c r="H124" s="8">
        <f t="shared" si="69"/>
        <v>12.076944778412868</v>
      </c>
      <c r="I124" s="8">
        <f t="shared" si="69"/>
        <v>12.088481672914188</v>
      </c>
      <c r="J124" s="8">
        <f t="shared" si="69"/>
        <v>12.175177657379551</v>
      </c>
      <c r="K124" s="8">
        <f t="shared" si="69"/>
        <v>12.32615582648367</v>
      </c>
      <c r="L124" s="8">
        <f t="shared" si="69"/>
        <v>12.49560345013804</v>
      </c>
      <c r="M124" s="8">
        <f t="shared" si="69"/>
        <v>12.478023316385272</v>
      </c>
      <c r="N124" s="8">
        <f t="shared" si="69"/>
        <v>12.314510473365464</v>
      </c>
      <c r="O124" s="8">
        <f t="shared" si="69"/>
        <v>12.1693886437469</v>
      </c>
      <c r="P124" s="8">
        <f t="shared" si="69"/>
        <v>12.192552641889574</v>
      </c>
      <c r="Q124" s="8">
        <f t="shared" si="69"/>
        <v>11.956129013162109</v>
      </c>
      <c r="R124" s="8">
        <f t="shared" si="69"/>
        <v>11.847327318878154</v>
      </c>
      <c r="S124" s="8">
        <f t="shared" si="69"/>
        <v>11.65384075294842</v>
      </c>
      <c r="T124" s="8">
        <f t="shared" si="69"/>
        <v>11.670850339618932</v>
      </c>
      <c r="U124" s="8">
        <f t="shared" si="69"/>
        <v>11.659509262049559</v>
      </c>
      <c r="V124" s="8">
        <f t="shared" si="69"/>
        <v>11.614199106243907</v>
      </c>
      <c r="W124" s="8">
        <f t="shared" si="69"/>
        <v>11.648173597392457</v>
      </c>
      <c r="X124" s="8">
        <f t="shared" si="69"/>
        <v>11.9963355921685</v>
      </c>
      <c r="Y124" s="8">
        <f aca="true" t="shared" si="70" ref="Y124:AJ124">+-PMT(Y67,$C68,$B117,0)</f>
        <v>12.076944778412868</v>
      </c>
      <c r="Z124" s="8">
        <f t="shared" si="70"/>
        <v>12.100023883699292</v>
      </c>
      <c r="AA124" s="8">
        <f t="shared" si="70"/>
        <v>12.08271256096464</v>
      </c>
      <c r="AB124" s="8">
        <f t="shared" si="70"/>
        <v>12.071178325585542</v>
      </c>
      <c r="AC124" s="8">
        <f t="shared" si="70"/>
        <v>12.09425211393471</v>
      </c>
      <c r="AD124" s="8">
        <f t="shared" si="70"/>
        <v>12.071178325585542</v>
      </c>
      <c r="AE124" s="8">
        <f t="shared" si="70"/>
        <v>11.894033693153853</v>
      </c>
      <c r="AF124" s="8">
        <f t="shared" si="70"/>
        <v>12.0078351996046</v>
      </c>
      <c r="AG124" s="8">
        <f t="shared" si="70"/>
        <v>11.97335239131348</v>
      </c>
      <c r="AH124" s="8">
        <f t="shared" si="70"/>
        <v>11.97335239131348</v>
      </c>
      <c r="AI124" s="8">
        <f t="shared" si="70"/>
        <v>11.97335239131348</v>
      </c>
      <c r="AJ124" s="8">
        <f t="shared" si="70"/>
        <v>11.904531087691321</v>
      </c>
      <c r="AK124" s="8">
        <f aca="true" t="shared" si="71" ref="AK124:AP124">+-PMT(AK67,$D68,$B117,0)</f>
        <v>11.887355877970673</v>
      </c>
      <c r="AL124" s="8">
        <f t="shared" si="71"/>
        <v>11.824483388614086</v>
      </c>
      <c r="AM124" s="8">
        <f t="shared" si="71"/>
        <v>11.72763683223588</v>
      </c>
      <c r="AN124" s="8">
        <f t="shared" si="71"/>
        <v>11.710586701130673</v>
      </c>
      <c r="AO124" s="8">
        <f t="shared" si="71"/>
        <v>11.608541434370554</v>
      </c>
      <c r="AP124" s="8">
        <f t="shared" si="71"/>
        <v>11.535115217823812</v>
      </c>
      <c r="AQ124" s="8">
        <f aca="true" t="shared" si="72" ref="AQ124:AV124">+-PMT(AQ67,$D68,$B117,0)</f>
        <v>11.552039351924623</v>
      </c>
      <c r="AR124" s="8">
        <f t="shared" si="72"/>
        <v>11.805938528022919</v>
      </c>
      <c r="AS124" s="8">
        <f t="shared" si="72"/>
        <v>11.744699108053688</v>
      </c>
      <c r="AT124" s="8">
        <f t="shared" si="72"/>
        <v>11.744699108053688</v>
      </c>
      <c r="AU124" s="8">
        <f t="shared" si="72"/>
        <v>11.744699108053688</v>
      </c>
      <c r="AV124" s="8">
        <f t="shared" si="72"/>
        <v>11.744699108053688</v>
      </c>
      <c r="AW124" s="8">
        <f>+-PMT(AW67,$D68,$B117,0)</f>
        <v>11.744699108053688</v>
      </c>
      <c r="AX124" s="8">
        <f>+-PMT(AX67,$D68,$B117,0)</f>
        <v>11.744699108053688</v>
      </c>
      <c r="AY124" s="8">
        <f>+-PMT(AY67,$E68,$B117,0)</f>
        <v>11.744699108053688</v>
      </c>
      <c r="AZ124" s="8">
        <f>+-PMT(AZ67,$E68,$B117,0)</f>
        <v>11.744699108053688</v>
      </c>
      <c r="BA124" s="8"/>
      <c r="BB124" s="8" t="e">
        <f aca="true" t="shared" si="73" ref="BB124:BI124">+-PMT(BB67,$D68,$B117,0)</f>
        <v>#REF!</v>
      </c>
      <c r="BC124" s="8" t="e">
        <f t="shared" si="73"/>
        <v>#REF!</v>
      </c>
      <c r="BD124" s="8">
        <f t="shared" si="73"/>
        <v>11.744699108053688</v>
      </c>
      <c r="BE124" s="8">
        <f t="shared" si="73"/>
        <v>11.744699108053688</v>
      </c>
      <c r="BF124" s="8">
        <f t="shared" si="73"/>
        <v>11.744699108053688</v>
      </c>
      <c r="BG124" s="8">
        <f t="shared" si="73"/>
        <v>11.744699108053688</v>
      </c>
      <c r="BH124" s="8">
        <f t="shared" si="73"/>
        <v>11.744699108053688</v>
      </c>
      <c r="BI124" s="8">
        <f t="shared" si="73"/>
        <v>11.744699108053688</v>
      </c>
    </row>
    <row r="125" spans="1:61" ht="15">
      <c r="A125" s="24" t="s">
        <v>118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</row>
    <row r="126" spans="1:61" ht="15">
      <c r="A126" s="9" t="s">
        <v>111</v>
      </c>
      <c r="B126" s="8">
        <f>B119/B5</f>
        <v>3.51885992740775</v>
      </c>
      <c r="C126" s="8">
        <f>C119/C5</f>
        <v>3.3634983068057323</v>
      </c>
      <c r="D126" s="8">
        <f>D119/D5</f>
        <v>3.2541837524185233</v>
      </c>
      <c r="E126" s="8">
        <f>E119/E5</f>
        <v>3.4628007119198</v>
      </c>
      <c r="F126" s="8"/>
      <c r="G126" s="8">
        <f aca="true" t="shared" si="74" ref="G126:X126">G119/$B5</f>
        <v>3.4931827273222686</v>
      </c>
      <c r="H126" s="8">
        <f t="shared" si="74"/>
        <v>3.4307862554763986</v>
      </c>
      <c r="I126" s="8">
        <f t="shared" si="74"/>
        <v>3.4364368426161565</v>
      </c>
      <c r="J126" s="8">
        <f t="shared" si="74"/>
        <v>3.4789554736936843</v>
      </c>
      <c r="K126" s="8">
        <f t="shared" si="74"/>
        <v>3.553231812607467</v>
      </c>
      <c r="L126" s="8">
        <f t="shared" si="74"/>
        <v>3.636930976309775</v>
      </c>
      <c r="M126" s="8">
        <f t="shared" si="74"/>
        <v>3.6282311718256275</v>
      </c>
      <c r="N126" s="8">
        <f t="shared" si="74"/>
        <v>3.547492440605267</v>
      </c>
      <c r="O126" s="8">
        <f t="shared" si="74"/>
        <v>3.4761132770530163</v>
      </c>
      <c r="P126" s="8">
        <f t="shared" si="74"/>
        <v>3.487488574223353</v>
      </c>
      <c r="Q126" s="8">
        <f t="shared" si="74"/>
        <v>3.3717206483712836</v>
      </c>
      <c r="R126" s="8">
        <f t="shared" si="74"/>
        <v>3.3187013732493233</v>
      </c>
      <c r="S126" s="8">
        <f t="shared" si="74"/>
        <v>3.224836203745254</v>
      </c>
      <c r="T126" s="8">
        <f t="shared" si="74"/>
        <v>3.2330657730927745</v>
      </c>
      <c r="U126" s="8">
        <f t="shared" si="74"/>
        <v>3.227578254876434</v>
      </c>
      <c r="V126" s="8">
        <f t="shared" si="74"/>
        <v>3.2056737816241694</v>
      </c>
      <c r="W126" s="8">
        <f t="shared" si="74"/>
        <v>3.222095292031429</v>
      </c>
      <c r="X126" s="8">
        <f t="shared" si="74"/>
        <v>3.3913551458902167</v>
      </c>
      <c r="Y126" s="8">
        <f aca="true" t="shared" si="75" ref="Y126:AJ126">Y119/$C5</f>
        <v>3.3085869153711003</v>
      </c>
      <c r="Z126" s="8">
        <f t="shared" si="75"/>
        <v>3.3194897816293993</v>
      </c>
      <c r="AA126" s="8">
        <f t="shared" si="75"/>
        <v>3.311311048222364</v>
      </c>
      <c r="AB126" s="8">
        <f t="shared" si="75"/>
        <v>3.3058638392987607</v>
      </c>
      <c r="AC126" s="8">
        <f t="shared" si="75"/>
        <v>3.3167624819338726</v>
      </c>
      <c r="AD126" s="8">
        <f t="shared" si="75"/>
        <v>3.3058638392987607</v>
      </c>
      <c r="AE126" s="8">
        <f t="shared" si="75"/>
        <v>3.222424065899904</v>
      </c>
      <c r="AF126" s="8">
        <f t="shared" si="75"/>
        <v>3.2759799159914644</v>
      </c>
      <c r="AG126" s="8">
        <f t="shared" si="75"/>
        <v>3.2597337954480845</v>
      </c>
      <c r="AH126" s="8">
        <f t="shared" si="75"/>
        <v>3.2597337954480845</v>
      </c>
      <c r="AI126" s="8">
        <f t="shared" si="75"/>
        <v>3.2597337954480845</v>
      </c>
      <c r="AJ126" s="8">
        <f t="shared" si="75"/>
        <v>3.2273569353587233</v>
      </c>
      <c r="AK126" s="8">
        <f aca="true" t="shared" si="76" ref="AK126:AP126">AK119/$D5</f>
        <v>3.2058216713839593</v>
      </c>
      <c r="AL126" s="8">
        <f t="shared" si="76"/>
        <v>3.1764377241926782</v>
      </c>
      <c r="AM126" s="8">
        <f t="shared" si="76"/>
        <v>3.1312828832708006</v>
      </c>
      <c r="AN126" s="8">
        <f t="shared" si="76"/>
        <v>3.1233469147265707</v>
      </c>
      <c r="AO126" s="8">
        <f t="shared" si="76"/>
        <v>3.075937391325372</v>
      </c>
      <c r="AP126" s="8">
        <f t="shared" si="76"/>
        <v>3.0419183689764524</v>
      </c>
      <c r="AQ126" s="8">
        <f aca="true" t="shared" si="77" ref="AQ126:AV126">AQ119/$D5</f>
        <v>3.0497523702727287</v>
      </c>
      <c r="AR126" s="8">
        <f t="shared" si="77"/>
        <v>3.1677810207320802</v>
      </c>
      <c r="AS126" s="8">
        <f t="shared" si="77"/>
        <v>3.139228635111624</v>
      </c>
      <c r="AT126" s="8">
        <f t="shared" si="77"/>
        <v>3.139228635111624</v>
      </c>
      <c r="AU126" s="8">
        <f t="shared" si="77"/>
        <v>3.139228635111624</v>
      </c>
      <c r="AV126" s="8">
        <f t="shared" si="77"/>
        <v>3.139228635111624</v>
      </c>
      <c r="AW126" s="8">
        <f>AW119/$D5</f>
        <v>3.139228635111624</v>
      </c>
      <c r="AX126" s="8">
        <f>AX119/$D5</f>
        <v>3.139228635111624</v>
      </c>
      <c r="AY126" s="8">
        <f>AY119/$E5</f>
        <v>3.340476131522854</v>
      </c>
      <c r="AZ126" s="8">
        <f>AZ119/$E5</f>
        <v>3.340476131522854</v>
      </c>
      <c r="BA126" s="8"/>
      <c r="BB126" s="8" t="e">
        <f aca="true" t="shared" si="78" ref="BB126:BI126">BB119/$D5</f>
        <v>#REF!</v>
      </c>
      <c r="BC126" s="8" t="e">
        <f t="shared" si="78"/>
        <v>#REF!</v>
      </c>
      <c r="BD126" s="8">
        <f t="shared" si="78"/>
        <v>3.139228635111624</v>
      </c>
      <c r="BE126" s="8">
        <f t="shared" si="78"/>
        <v>3.139228635111624</v>
      </c>
      <c r="BF126" s="8">
        <f t="shared" si="78"/>
        <v>3.139228635111624</v>
      </c>
      <c r="BG126" s="8">
        <f t="shared" si="78"/>
        <v>3.139228635111624</v>
      </c>
      <c r="BH126" s="8">
        <f t="shared" si="78"/>
        <v>3.139228635111624</v>
      </c>
      <c r="BI126" s="8">
        <f t="shared" si="78"/>
        <v>3.139228635111624</v>
      </c>
    </row>
    <row r="127" spans="1:61" ht="15">
      <c r="A127" s="9" t="s">
        <v>112</v>
      </c>
      <c r="B127" s="8">
        <f>B120/B5</f>
        <v>3.3621588425821654</v>
      </c>
      <c r="C127" s="8">
        <f>C120/C5</f>
        <v>3.225650759597451</v>
      </c>
      <c r="D127" s="8">
        <f>D120/D5</f>
        <v>3.1588257259929406</v>
      </c>
      <c r="E127" s="8">
        <f>E120/E5</f>
        <v>3.3613295391415687</v>
      </c>
      <c r="F127" s="8"/>
      <c r="G127" s="8">
        <f aca="true" t="shared" si="79" ref="G127:X127">G120/$B5</f>
        <v>3.3478338381358896</v>
      </c>
      <c r="H127" s="8">
        <f t="shared" si="79"/>
        <v>3.312941005169281</v>
      </c>
      <c r="I127" s="8">
        <f t="shared" si="79"/>
        <v>3.3161057998724957</v>
      </c>
      <c r="J127" s="8">
        <f t="shared" si="79"/>
        <v>3.3398881957672106</v>
      </c>
      <c r="K127" s="8">
        <f t="shared" si="79"/>
        <v>3.3813044460265043</v>
      </c>
      <c r="L127" s="8">
        <f t="shared" si="79"/>
        <v>3.427787227138204</v>
      </c>
      <c r="M127" s="8">
        <f t="shared" si="79"/>
        <v>3.4229646542893146</v>
      </c>
      <c r="N127" s="8">
        <f t="shared" si="79"/>
        <v>3.3781098990137575</v>
      </c>
      <c r="O127" s="8">
        <f t="shared" si="79"/>
        <v>3.3383001566567416</v>
      </c>
      <c r="P127" s="8">
        <f t="shared" si="79"/>
        <v>3.344654492186014</v>
      </c>
      <c r="Q127" s="8">
        <f t="shared" si="79"/>
        <v>3.2797988893350194</v>
      </c>
      <c r="R127" s="8">
        <f t="shared" si="79"/>
        <v>3.2499524669956945</v>
      </c>
      <c r="S127" s="8">
        <f t="shared" si="79"/>
        <v>3.196875336150169</v>
      </c>
      <c r="T127" s="8">
        <f t="shared" si="79"/>
        <v>3.201541396829891</v>
      </c>
      <c r="U127" s="8">
        <f t="shared" si="79"/>
        <v>3.1984303185222767</v>
      </c>
      <c r="V127" s="8">
        <f t="shared" si="79"/>
        <v>3.1860008609174457</v>
      </c>
      <c r="W127" s="8">
        <f t="shared" si="79"/>
        <v>3.1953207250818485</v>
      </c>
      <c r="X127" s="8">
        <f t="shared" si="79"/>
        <v>3.2908283364933726</v>
      </c>
      <c r="Y127" s="8">
        <f aca="true" t="shared" si="80" ref="Y127:AJ127">Y120/$C5</f>
        <v>3.194939131985475</v>
      </c>
      <c r="Z127" s="8">
        <f t="shared" si="80"/>
        <v>3.2010446775488375</v>
      </c>
      <c r="AA127" s="8">
        <f t="shared" si="80"/>
        <v>3.196464990927249</v>
      </c>
      <c r="AB127" s="8">
        <f t="shared" si="80"/>
        <v>3.1934136248204763</v>
      </c>
      <c r="AC127" s="8">
        <f t="shared" si="80"/>
        <v>3.1995177637953987</v>
      </c>
      <c r="AD127" s="8">
        <f t="shared" si="80"/>
        <v>3.1934136248204763</v>
      </c>
      <c r="AE127" s="8">
        <f t="shared" si="80"/>
        <v>3.1465502559336005</v>
      </c>
      <c r="AF127" s="8">
        <f t="shared" si="80"/>
        <v>3.1766562879565576</v>
      </c>
      <c r="AG127" s="8">
        <f t="shared" si="80"/>
        <v>3.167533908446553</v>
      </c>
      <c r="AH127" s="8">
        <f t="shared" si="80"/>
        <v>3.167533908446553</v>
      </c>
      <c r="AI127" s="8">
        <f t="shared" si="80"/>
        <v>3.167533908446553</v>
      </c>
      <c r="AJ127" s="8">
        <f t="shared" si="80"/>
        <v>3.149327327221662</v>
      </c>
      <c r="AK127" s="8">
        <f aca="true" t="shared" si="81" ref="AK127:AP127">AK120/$D5</f>
        <v>3.1316300935284156</v>
      </c>
      <c r="AL127" s="8">
        <f t="shared" si="81"/>
        <v>3.1150668323839406</v>
      </c>
      <c r="AM127" s="8">
        <f t="shared" si="81"/>
        <v>3.0895533713988432</v>
      </c>
      <c r="AN127" s="8">
        <f t="shared" si="81"/>
        <v>3.0850616489152394</v>
      </c>
      <c r="AO127" s="8">
        <f t="shared" si="81"/>
        <v>3.05817862870716</v>
      </c>
      <c r="AP127" s="8">
        <f t="shared" si="81"/>
        <v>3.0388350714222425</v>
      </c>
      <c r="AQ127" s="8">
        <f aca="true" t="shared" si="82" ref="AQ127:AV127">AQ120/$D5</f>
        <v>3.0432936009893803</v>
      </c>
      <c r="AR127" s="8">
        <f t="shared" si="82"/>
        <v>3.110181335213354</v>
      </c>
      <c r="AS127" s="8">
        <f t="shared" si="82"/>
        <v>3.0940482933111366</v>
      </c>
      <c r="AT127" s="8">
        <f t="shared" si="82"/>
        <v>3.0940482933111366</v>
      </c>
      <c r="AU127" s="8">
        <f t="shared" si="82"/>
        <v>3.0940482933111366</v>
      </c>
      <c r="AV127" s="8">
        <f t="shared" si="82"/>
        <v>3.0940482933111366</v>
      </c>
      <c r="AW127" s="8">
        <f>AW120/$D5</f>
        <v>3.0940482933111366</v>
      </c>
      <c r="AX127" s="8">
        <f>AX120/$D5</f>
        <v>3.0940482933111366</v>
      </c>
      <c r="AY127" s="8">
        <f>AY120/$E5</f>
        <v>3.2923993996433984</v>
      </c>
      <c r="AZ127" s="8">
        <f>AZ120/$E5</f>
        <v>3.2923993996433984</v>
      </c>
      <c r="BA127" s="8"/>
      <c r="BB127" s="8" t="e">
        <f aca="true" t="shared" si="83" ref="BB127:BI127">BB120/$D5</f>
        <v>#REF!</v>
      </c>
      <c r="BC127" s="8" t="e">
        <f t="shared" si="83"/>
        <v>#REF!</v>
      </c>
      <c r="BD127" s="8">
        <f t="shared" si="83"/>
        <v>3.0940482933111366</v>
      </c>
      <c r="BE127" s="8">
        <f t="shared" si="83"/>
        <v>3.0940482933111366</v>
      </c>
      <c r="BF127" s="8">
        <f t="shared" si="83"/>
        <v>3.0940482933111366</v>
      </c>
      <c r="BG127" s="8">
        <f t="shared" si="83"/>
        <v>3.0940482933111366</v>
      </c>
      <c r="BH127" s="8">
        <f t="shared" si="83"/>
        <v>3.0940482933111366</v>
      </c>
      <c r="BI127" s="8">
        <f t="shared" si="83"/>
        <v>3.0940482933111366</v>
      </c>
    </row>
    <row r="128" spans="1:61" ht="15">
      <c r="A128" s="9" t="s">
        <v>113</v>
      </c>
      <c r="B128" s="8">
        <f>B121/B109</f>
        <v>0.8483608641030917</v>
      </c>
      <c r="C128" s="8">
        <f>C121/C109</f>
        <v>0.9572993327805391</v>
      </c>
      <c r="D128" s="8">
        <f>D121/D109</f>
        <v>0.8679123430950957</v>
      </c>
      <c r="E128" s="8">
        <f>E121/E109</f>
        <v>0.9605489296063559</v>
      </c>
      <c r="F128" s="8"/>
      <c r="G128" s="8">
        <f aca="true" t="shared" si="84" ref="G128:X128">G121/$B109</f>
        <v>0.8421703557845878</v>
      </c>
      <c r="H128" s="8">
        <f t="shared" si="84"/>
        <v>0.82712720946329</v>
      </c>
      <c r="I128" s="8">
        <f t="shared" si="84"/>
        <v>0.8284895077893009</v>
      </c>
      <c r="J128" s="8">
        <f t="shared" si="84"/>
        <v>0.838740311556868</v>
      </c>
      <c r="K128" s="8">
        <f t="shared" si="84"/>
        <v>0.8566475713976229</v>
      </c>
      <c r="L128" s="8">
        <f t="shared" si="84"/>
        <v>0.8768265771858715</v>
      </c>
      <c r="M128" s="8">
        <f t="shared" si="84"/>
        <v>0.8747291439825167</v>
      </c>
      <c r="N128" s="8">
        <f t="shared" si="84"/>
        <v>0.8552638679562694</v>
      </c>
      <c r="O128" s="8">
        <f t="shared" si="84"/>
        <v>0.8380550872376936</v>
      </c>
      <c r="P128" s="8">
        <f t="shared" si="84"/>
        <v>0.8407975541548026</v>
      </c>
      <c r="Q128" s="8">
        <f t="shared" si="84"/>
        <v>0.8128871003040192</v>
      </c>
      <c r="R128" s="8">
        <f t="shared" si="84"/>
        <v>0.8001046994740664</v>
      </c>
      <c r="S128" s="8">
        <f t="shared" si="84"/>
        <v>0.7774747744550508</v>
      </c>
      <c r="T128" s="8">
        <f t="shared" si="84"/>
        <v>0.7794588388130778</v>
      </c>
      <c r="U128" s="8">
        <f t="shared" si="84"/>
        <v>0.7781358547239594</v>
      </c>
      <c r="V128" s="8">
        <f t="shared" si="84"/>
        <v>0.7728549119642676</v>
      </c>
      <c r="W128" s="8">
        <f t="shared" si="84"/>
        <v>0.7768139688879242</v>
      </c>
      <c r="X128" s="8">
        <f t="shared" si="84"/>
        <v>0.8176207753081459</v>
      </c>
      <c r="Y128" s="8">
        <f aca="true" t="shared" si="85" ref="Y128:AJ128">Y121/$C109</f>
        <v>0.9416707718039926</v>
      </c>
      <c r="Z128" s="8">
        <f t="shared" si="85"/>
        <v>0.9447738822094137</v>
      </c>
      <c r="AA128" s="8">
        <f t="shared" si="85"/>
        <v>0.942446098658073</v>
      </c>
      <c r="AB128" s="8">
        <f t="shared" si="85"/>
        <v>0.9408957457241856</v>
      </c>
      <c r="AC128" s="8">
        <f t="shared" si="85"/>
        <v>0.9439976540265312</v>
      </c>
      <c r="AD128" s="8">
        <f t="shared" si="85"/>
        <v>0.9408957457241856</v>
      </c>
      <c r="AE128" s="8">
        <f t="shared" si="85"/>
        <v>0.9171476025363442</v>
      </c>
      <c r="AF128" s="8">
        <f t="shared" si="85"/>
        <v>0.9323903572169121</v>
      </c>
      <c r="AG128" s="8">
        <f t="shared" si="85"/>
        <v>0.9277664808424296</v>
      </c>
      <c r="AH128" s="8">
        <f t="shared" si="85"/>
        <v>0.9277664808424296</v>
      </c>
      <c r="AI128" s="8">
        <f t="shared" si="85"/>
        <v>0.9277664808424296</v>
      </c>
      <c r="AJ128" s="8">
        <f t="shared" si="85"/>
        <v>0.9185515671621226</v>
      </c>
      <c r="AK128" s="8">
        <f aca="true" t="shared" si="86" ref="AK128:AP128">AK121/$D109</f>
        <v>0.8550138560208891</v>
      </c>
      <c r="AL128" s="8">
        <f t="shared" si="86"/>
        <v>0.8471769628407749</v>
      </c>
      <c r="AM128" s="8">
        <f t="shared" si="86"/>
        <v>0.8351338679302718</v>
      </c>
      <c r="AN128" s="8">
        <f t="shared" si="86"/>
        <v>0.8330172925989519</v>
      </c>
      <c r="AO128" s="8">
        <f t="shared" si="86"/>
        <v>0.8203728589496301</v>
      </c>
      <c r="AP128" s="8">
        <f t="shared" si="86"/>
        <v>0.8112997605498514</v>
      </c>
      <c r="AQ128" s="8">
        <f aca="true" t="shared" si="87" ref="AQ128:AV128">AQ121/$D109</f>
        <v>0.8133891405413186</v>
      </c>
      <c r="AR128" s="8">
        <f t="shared" si="87"/>
        <v>0.8448681627374056</v>
      </c>
      <c r="AS128" s="8">
        <f t="shared" si="87"/>
        <v>0.8372530525315397</v>
      </c>
      <c r="AT128" s="8">
        <f t="shared" si="87"/>
        <v>0.8372530525315397</v>
      </c>
      <c r="AU128" s="8">
        <f t="shared" si="87"/>
        <v>0.8372530525315397</v>
      </c>
      <c r="AV128" s="8">
        <f t="shared" si="87"/>
        <v>0.8372530525315397</v>
      </c>
      <c r="AW128" s="8">
        <f>AW121/$D109</f>
        <v>0.8372530525315397</v>
      </c>
      <c r="AX128" s="8">
        <f>AX121/$D109</f>
        <v>0.8372530525315397</v>
      </c>
      <c r="AY128" s="8">
        <f>AY121/$E109</f>
        <v>0.9266172209866903</v>
      </c>
      <c r="AZ128" s="8">
        <f>AZ121/$E109</f>
        <v>0.9266172209866903</v>
      </c>
      <c r="BA128" s="8"/>
      <c r="BB128" s="8" t="e">
        <f aca="true" t="shared" si="88" ref="BB128:BI128">BB121/$D109</f>
        <v>#REF!</v>
      </c>
      <c r="BC128" s="8" t="e">
        <f t="shared" si="88"/>
        <v>#REF!</v>
      </c>
      <c r="BD128" s="8">
        <f t="shared" si="88"/>
        <v>0.8372530525315397</v>
      </c>
      <c r="BE128" s="8">
        <f t="shared" si="88"/>
        <v>0.8372530525315397</v>
      </c>
      <c r="BF128" s="8">
        <f t="shared" si="88"/>
        <v>0.8372530525315397</v>
      </c>
      <c r="BG128" s="8">
        <f t="shared" si="88"/>
        <v>0.8372530525315397</v>
      </c>
      <c r="BH128" s="8">
        <f t="shared" si="88"/>
        <v>0.8372530525315397</v>
      </c>
      <c r="BI128" s="8">
        <f t="shared" si="88"/>
        <v>0.8372530525315397</v>
      </c>
    </row>
    <row r="129" spans="1:61" ht="15">
      <c r="A129" s="9" t="s">
        <v>114</v>
      </c>
      <c r="B129" s="8">
        <f>B122/B109</f>
        <v>0.810581847469583</v>
      </c>
      <c r="C129" s="8">
        <f>C122/C109</f>
        <v>0.9180659653366162</v>
      </c>
      <c r="D129" s="8">
        <f>D122/D109</f>
        <v>0.8424797263639595</v>
      </c>
      <c r="E129" s="8">
        <f>E122/E109</f>
        <v>0.9324017636252113</v>
      </c>
      <c r="F129" s="8"/>
      <c r="G129" s="8">
        <f aca="true" t="shared" si="89" ref="G129:X129">G122/$B109</f>
        <v>0.8071282365271105</v>
      </c>
      <c r="H129" s="8">
        <f t="shared" si="89"/>
        <v>0.7987159340947246</v>
      </c>
      <c r="I129" s="8">
        <f t="shared" si="89"/>
        <v>0.7994789334821729</v>
      </c>
      <c r="J129" s="8">
        <f t="shared" si="89"/>
        <v>0.8052126240376093</v>
      </c>
      <c r="K129" s="8">
        <f t="shared" si="89"/>
        <v>0.8151976551507314</v>
      </c>
      <c r="L129" s="8">
        <f t="shared" si="89"/>
        <v>0.8264041746381059</v>
      </c>
      <c r="M129" s="8">
        <f t="shared" si="89"/>
        <v>0.8252415020243377</v>
      </c>
      <c r="N129" s="8">
        <f t="shared" si="89"/>
        <v>0.8144274827880742</v>
      </c>
      <c r="O129" s="8">
        <f t="shared" si="89"/>
        <v>0.8048297641739661</v>
      </c>
      <c r="P129" s="8">
        <f t="shared" si="89"/>
        <v>0.8063617289840532</v>
      </c>
      <c r="Q129" s="8">
        <f t="shared" si="89"/>
        <v>0.7907257115205422</v>
      </c>
      <c r="R129" s="8">
        <f t="shared" si="89"/>
        <v>0.7835300466834859</v>
      </c>
      <c r="S129" s="8">
        <f t="shared" si="89"/>
        <v>0.7707336974348262</v>
      </c>
      <c r="T129" s="8">
        <f t="shared" si="89"/>
        <v>0.7718586365775792</v>
      </c>
      <c r="U129" s="8">
        <f t="shared" si="89"/>
        <v>0.771108587659524</v>
      </c>
      <c r="V129" s="8">
        <f t="shared" si="89"/>
        <v>0.7681119735255437</v>
      </c>
      <c r="W129" s="8">
        <f t="shared" si="89"/>
        <v>0.7703588967276447</v>
      </c>
      <c r="X129" s="8">
        <f t="shared" si="89"/>
        <v>0.7933847975639963</v>
      </c>
      <c r="Y129" s="8">
        <f aca="true" t="shared" si="90" ref="Y129:AJ129">Y122/$C109</f>
        <v>0.9093250004423987</v>
      </c>
      <c r="Z129" s="8">
        <f t="shared" si="90"/>
        <v>0.91106272532314</v>
      </c>
      <c r="AA129" s="8">
        <f t="shared" si="90"/>
        <v>0.909759281543097</v>
      </c>
      <c r="AB129" s="8">
        <f t="shared" si="90"/>
        <v>0.9088908194623604</v>
      </c>
      <c r="AC129" s="8">
        <f t="shared" si="90"/>
        <v>0.9106281440080782</v>
      </c>
      <c r="AD129" s="8">
        <f t="shared" si="90"/>
        <v>0.9088908194623604</v>
      </c>
      <c r="AE129" s="8">
        <f t="shared" si="90"/>
        <v>0.8955528398723366</v>
      </c>
      <c r="AF129" s="8">
        <f t="shared" si="90"/>
        <v>0.9041214436709268</v>
      </c>
      <c r="AG129" s="8">
        <f t="shared" si="90"/>
        <v>0.9015250850520959</v>
      </c>
      <c r="AH129" s="8">
        <f t="shared" si="90"/>
        <v>0.9015250850520959</v>
      </c>
      <c r="AI129" s="8">
        <f t="shared" si="90"/>
        <v>0.9015250850520959</v>
      </c>
      <c r="AJ129" s="8">
        <f t="shared" si="90"/>
        <v>0.8963432337565159</v>
      </c>
      <c r="AK129" s="8">
        <f aca="true" t="shared" si="91" ref="AK129:AP129">AK122/$D109</f>
        <v>0.83522647120383</v>
      </c>
      <c r="AL129" s="8">
        <f t="shared" si="91"/>
        <v>0.8308089398402391</v>
      </c>
      <c r="AM129" s="8">
        <f t="shared" si="91"/>
        <v>0.8240043309463545</v>
      </c>
      <c r="AN129" s="8">
        <f t="shared" si="91"/>
        <v>0.8228063588335689</v>
      </c>
      <c r="AO129" s="8">
        <f t="shared" si="91"/>
        <v>0.8156364794311145</v>
      </c>
      <c r="AP129" s="8">
        <f t="shared" si="91"/>
        <v>0.8104774246867507</v>
      </c>
      <c r="AQ129" s="8">
        <f aca="true" t="shared" si="92" ref="AQ129:AV129">AQ122/$D109</f>
        <v>0.8116665440290427</v>
      </c>
      <c r="AR129" s="8">
        <f t="shared" si="92"/>
        <v>0.8295059454124174</v>
      </c>
      <c r="AS129" s="8">
        <f t="shared" si="92"/>
        <v>0.8252031563679457</v>
      </c>
      <c r="AT129" s="8">
        <f t="shared" si="92"/>
        <v>0.8252031563679457</v>
      </c>
      <c r="AU129" s="8">
        <f t="shared" si="92"/>
        <v>0.8252031563679457</v>
      </c>
      <c r="AV129" s="8">
        <f t="shared" si="92"/>
        <v>0.8252031563679457</v>
      </c>
      <c r="AW129" s="8">
        <f>AW122/$D109</f>
        <v>0.8252031563679457</v>
      </c>
      <c r="AX129" s="8">
        <f>AX122/$D109</f>
        <v>0.8252031563679457</v>
      </c>
      <c r="AY129" s="8">
        <f>AY122/$E109</f>
        <v>0.9132811796757305</v>
      </c>
      <c r="AZ129" s="8">
        <f>AZ122/$E109</f>
        <v>0.9132811796757305</v>
      </c>
      <c r="BA129" s="8"/>
      <c r="BB129" s="8" t="e">
        <f aca="true" t="shared" si="93" ref="BB129:BI129">BB122/$D109</f>
        <v>#REF!</v>
      </c>
      <c r="BC129" s="8" t="e">
        <f t="shared" si="93"/>
        <v>#REF!</v>
      </c>
      <c r="BD129" s="8">
        <f t="shared" si="93"/>
        <v>0.8252031563679457</v>
      </c>
      <c r="BE129" s="8">
        <f t="shared" si="93"/>
        <v>0.8252031563679457</v>
      </c>
      <c r="BF129" s="8">
        <f t="shared" si="93"/>
        <v>0.8252031563679457</v>
      </c>
      <c r="BG129" s="8">
        <f t="shared" si="93"/>
        <v>0.8252031563679457</v>
      </c>
      <c r="BH129" s="8">
        <f t="shared" si="93"/>
        <v>0.8252031563679457</v>
      </c>
      <c r="BI129" s="8">
        <f t="shared" si="93"/>
        <v>0.8252031563679457</v>
      </c>
    </row>
    <row r="130" spans="1:61" ht="15">
      <c r="A130" s="9" t="s">
        <v>115</v>
      </c>
      <c r="B130" s="8">
        <f>B123/B27</f>
        <v>3.4311040924552287</v>
      </c>
      <c r="C130" s="8">
        <f>C123/C27</f>
        <v>3.445301220406269</v>
      </c>
      <c r="D130" s="8">
        <f>D123/D27</f>
        <v>3.2839060703254415</v>
      </c>
      <c r="E130" s="8">
        <f>E123/E27</f>
        <v>3.6365778631030894</v>
      </c>
      <c r="F130" s="8"/>
      <c r="G130" s="8">
        <f aca="true" t="shared" si="94" ref="G130:X130">G123/$B27</f>
        <v>3.406067248672421</v>
      </c>
      <c r="H130" s="8">
        <f t="shared" si="94"/>
        <v>3.345226864479339</v>
      </c>
      <c r="I130" s="8">
        <f t="shared" si="94"/>
        <v>3.350736533252736</v>
      </c>
      <c r="J130" s="8">
        <f t="shared" si="94"/>
        <v>3.3921948044272776</v>
      </c>
      <c r="K130" s="8">
        <f t="shared" si="94"/>
        <v>3.464618787102659</v>
      </c>
      <c r="L130" s="8">
        <f t="shared" si="94"/>
        <v>3.546230601451185</v>
      </c>
      <c r="M130" s="8">
        <f t="shared" si="94"/>
        <v>3.537747758887142</v>
      </c>
      <c r="N130" s="8">
        <f t="shared" si="94"/>
        <v>3.4590225476469505</v>
      </c>
      <c r="O130" s="8">
        <f t="shared" si="94"/>
        <v>3.389423488510608</v>
      </c>
      <c r="P130" s="8">
        <f t="shared" si="94"/>
        <v>3.400515100418783</v>
      </c>
      <c r="Q130" s="8">
        <f t="shared" si="94"/>
        <v>3.2876342775499094</v>
      </c>
      <c r="R130" s="8">
        <f t="shared" si="94"/>
        <v>3.235937234870528</v>
      </c>
      <c r="S130" s="8">
        <f t="shared" si="94"/>
        <v>3.1444129418130116</v>
      </c>
      <c r="T130" s="8">
        <f t="shared" si="94"/>
        <v>3.1524372762991595</v>
      </c>
      <c r="U130" s="8">
        <f t="shared" si="94"/>
        <v>3.1470866097202315</v>
      </c>
      <c r="V130" s="8">
        <f t="shared" si="94"/>
        <v>3.125728405821991</v>
      </c>
      <c r="W130" s="8">
        <f t="shared" si="94"/>
        <v>3.1417403849075454</v>
      </c>
      <c r="X130" s="8">
        <f t="shared" si="94"/>
        <v>3.3067791159863025</v>
      </c>
      <c r="Y130" s="8">
        <f aca="true" t="shared" si="95" ref="Y130:AJ130">Y123/$C27</f>
        <v>3.095979298730279</v>
      </c>
      <c r="Z130" s="8">
        <f t="shared" si="95"/>
        <v>3.106181553981818</v>
      </c>
      <c r="AA130" s="8">
        <f t="shared" si="95"/>
        <v>3.0985283805982275</v>
      </c>
      <c r="AB130" s="8">
        <f t="shared" si="95"/>
        <v>3.093431205733337</v>
      </c>
      <c r="AC130" s="8">
        <f t="shared" si="95"/>
        <v>3.103629508768934</v>
      </c>
      <c r="AD130" s="8">
        <f t="shared" si="95"/>
        <v>3.093431205733337</v>
      </c>
      <c r="AE130" s="8">
        <f t="shared" si="95"/>
        <v>3.0153532172321245</v>
      </c>
      <c r="AF130" s="8">
        <f t="shared" si="95"/>
        <v>3.065467603660681</v>
      </c>
      <c r="AG130" s="8">
        <f t="shared" si="95"/>
        <v>3.0502654481261513</v>
      </c>
      <c r="AH130" s="8">
        <f t="shared" si="95"/>
        <v>3.0502654481261513</v>
      </c>
      <c r="AI130" s="8">
        <f t="shared" si="95"/>
        <v>3.0502654481261513</v>
      </c>
      <c r="AJ130" s="8">
        <f t="shared" si="95"/>
        <v>3.019969103747571</v>
      </c>
      <c r="AK130" s="8">
        <f aca="true" t="shared" si="96" ref="AK130:AP130">AK123/$D27</f>
        <v>2.9464841929594803</v>
      </c>
      <c r="AL130" s="8">
        <f t="shared" si="96"/>
        <v>2.91947728340531</v>
      </c>
      <c r="AM130" s="8">
        <f t="shared" si="96"/>
        <v>2.877975279036341</v>
      </c>
      <c r="AN130" s="8">
        <f t="shared" si="96"/>
        <v>2.8706812969411666</v>
      </c>
      <c r="AO130" s="8">
        <f t="shared" si="96"/>
        <v>2.827107004414448</v>
      </c>
      <c r="AP130" s="8">
        <f t="shared" si="96"/>
        <v>2.7958399777717124</v>
      </c>
      <c r="AQ130" s="8">
        <f aca="true" t="shared" si="97" ref="AQ130:AV130">AQ123/$D27</f>
        <v>2.803040241340064</v>
      </c>
      <c r="AR130" s="8">
        <f t="shared" si="97"/>
        <v>2.911520870814594</v>
      </c>
      <c r="AS130" s="8">
        <f t="shared" si="97"/>
        <v>2.8852782530005974</v>
      </c>
      <c r="AT130" s="8">
        <f t="shared" si="97"/>
        <v>2.8852782530005974</v>
      </c>
      <c r="AU130" s="8">
        <f t="shared" si="97"/>
        <v>2.8852782530005974</v>
      </c>
      <c r="AV130" s="8">
        <f t="shared" si="97"/>
        <v>2.8852782530005974</v>
      </c>
      <c r="AW130" s="8">
        <f>AW123/$D27</f>
        <v>2.8852782530005974</v>
      </c>
      <c r="AX130" s="8">
        <f>AX123/$D27</f>
        <v>2.8852782530005974</v>
      </c>
      <c r="AY130" s="8">
        <f>AY123/$E27</f>
        <v>3.037205144367849</v>
      </c>
      <c r="AZ130" s="8">
        <f>AZ123/$E27</f>
        <v>3.037205144367849</v>
      </c>
      <c r="BA130" s="8"/>
      <c r="BB130" s="8" t="e">
        <f aca="true" t="shared" si="98" ref="BB130:BI130">BB123/$D27</f>
        <v>#REF!</v>
      </c>
      <c r="BC130" s="8" t="e">
        <f t="shared" si="98"/>
        <v>#REF!</v>
      </c>
      <c r="BD130" s="8">
        <f t="shared" si="98"/>
        <v>2.8852782530005974</v>
      </c>
      <c r="BE130" s="8">
        <f t="shared" si="98"/>
        <v>2.8852782530005974</v>
      </c>
      <c r="BF130" s="8">
        <f t="shared" si="98"/>
        <v>2.8852782530005974</v>
      </c>
      <c r="BG130" s="8">
        <f t="shared" si="98"/>
        <v>2.8852782530005974</v>
      </c>
      <c r="BH130" s="8">
        <f t="shared" si="98"/>
        <v>2.8852782530005974</v>
      </c>
      <c r="BI130" s="8">
        <f t="shared" si="98"/>
        <v>2.8852782530005974</v>
      </c>
    </row>
    <row r="131" spans="1:61" ht="15">
      <c r="A131" s="9" t="s">
        <v>116</v>
      </c>
      <c r="B131" s="8">
        <f>B124/B27</f>
        <v>3.278310930883346</v>
      </c>
      <c r="C131" s="8">
        <f>C124/C27</f>
        <v>3.3041011128677202</v>
      </c>
      <c r="D131" s="8">
        <f>D124/D27</f>
        <v>3.187677084608058</v>
      </c>
      <c r="E131" s="8">
        <f>E124/E27</f>
        <v>3.5300144621547727</v>
      </c>
      <c r="F131" s="8"/>
      <c r="G131" s="8">
        <f aca="true" t="shared" si="99" ref="G131:X131">G124/$B27</f>
        <v>3.264343173600018</v>
      </c>
      <c r="H131" s="8">
        <f t="shared" si="99"/>
        <v>3.230320522952119</v>
      </c>
      <c r="I131" s="8">
        <f t="shared" si="99"/>
        <v>3.233406391751102</v>
      </c>
      <c r="J131" s="8">
        <f t="shared" si="99"/>
        <v>3.256595685319504</v>
      </c>
      <c r="K131" s="8">
        <f t="shared" si="99"/>
        <v>3.2969790676337576</v>
      </c>
      <c r="L131" s="8">
        <f t="shared" si="99"/>
        <v>3.342302628045707</v>
      </c>
      <c r="M131" s="8">
        <f t="shared" si="99"/>
        <v>3.337600323953093</v>
      </c>
      <c r="N131" s="8">
        <f t="shared" si="99"/>
        <v>3.293864188509527</v>
      </c>
      <c r="O131" s="8">
        <f t="shared" si="99"/>
        <v>3.2550472498593517</v>
      </c>
      <c r="P131" s="8">
        <f t="shared" si="99"/>
        <v>3.2612431164437257</v>
      </c>
      <c r="Q131" s="8">
        <f t="shared" si="99"/>
        <v>3.198004928805883</v>
      </c>
      <c r="R131" s="8">
        <f t="shared" si="99"/>
        <v>3.1689028378030613</v>
      </c>
      <c r="S131" s="8">
        <f t="shared" si="99"/>
        <v>3.117149382247352</v>
      </c>
      <c r="T131" s="8">
        <f t="shared" si="99"/>
        <v>3.1216990773827393</v>
      </c>
      <c r="U131" s="8">
        <f t="shared" si="99"/>
        <v>3.1186655853616263</v>
      </c>
      <c r="V131" s="8">
        <f t="shared" si="99"/>
        <v>3.1065461024226315</v>
      </c>
      <c r="W131" s="8">
        <f t="shared" si="99"/>
        <v>3.115633541177025</v>
      </c>
      <c r="X131" s="8">
        <f t="shared" si="99"/>
        <v>3.2087593157559824</v>
      </c>
      <c r="Y131" s="8">
        <f aca="true" t="shared" si="100" ref="Y131:AJ131">Y124/$C27</f>
        <v>2.9896344470735663</v>
      </c>
      <c r="Z131" s="8">
        <f t="shared" si="100"/>
        <v>2.9953476542992266</v>
      </c>
      <c r="AA131" s="8">
        <f t="shared" si="100"/>
        <v>2.9910622553244437</v>
      </c>
      <c r="AB131" s="8">
        <f t="shared" si="100"/>
        <v>2.9882069679945187</v>
      </c>
      <c r="AC131" s="8">
        <f t="shared" si="100"/>
        <v>2.993918859018187</v>
      </c>
      <c r="AD131" s="8">
        <f t="shared" si="100"/>
        <v>2.9882069679945187</v>
      </c>
      <c r="AE131" s="8">
        <f t="shared" si="100"/>
        <v>2.944355008335102</v>
      </c>
      <c r="AF131" s="8">
        <f t="shared" si="100"/>
        <v>2.9725264465635983</v>
      </c>
      <c r="AG131" s="8">
        <f t="shared" si="100"/>
        <v>2.9639902651542704</v>
      </c>
      <c r="AH131" s="8">
        <f t="shared" si="100"/>
        <v>2.9639902651542704</v>
      </c>
      <c r="AI131" s="8">
        <f t="shared" si="100"/>
        <v>2.9639902651542704</v>
      </c>
      <c r="AJ131" s="8">
        <f t="shared" si="100"/>
        <v>2.946953626850758</v>
      </c>
      <c r="AK131" s="8">
        <f aca="true" t="shared" si="101" ref="AK131:AP131">AK124/$D27</f>
        <v>2.8782944014456837</v>
      </c>
      <c r="AL131" s="8">
        <f t="shared" si="101"/>
        <v>2.8630710384053475</v>
      </c>
      <c r="AM131" s="8">
        <f t="shared" si="101"/>
        <v>2.839621509015952</v>
      </c>
      <c r="AN131" s="8">
        <f t="shared" si="101"/>
        <v>2.8354931479735286</v>
      </c>
      <c r="AO131" s="8">
        <f t="shared" si="101"/>
        <v>2.8107848509371802</v>
      </c>
      <c r="AP131" s="8">
        <f t="shared" si="101"/>
        <v>2.7930061060106084</v>
      </c>
      <c r="AQ131" s="8">
        <f aca="true" t="shared" si="102" ref="AQ131:AV131">AQ124/$D27</f>
        <v>2.797103959303783</v>
      </c>
      <c r="AR131" s="8">
        <f t="shared" si="102"/>
        <v>2.8585807573905373</v>
      </c>
      <c r="AS131" s="8">
        <f t="shared" si="102"/>
        <v>2.8437528106667527</v>
      </c>
      <c r="AT131" s="8">
        <f t="shared" si="102"/>
        <v>2.8437528106667527</v>
      </c>
      <c r="AU131" s="8">
        <f t="shared" si="102"/>
        <v>2.8437528106667527</v>
      </c>
      <c r="AV131" s="8">
        <f t="shared" si="102"/>
        <v>2.8437528106667527</v>
      </c>
      <c r="AW131" s="8">
        <f>AW124/$D27</f>
        <v>2.8437528106667527</v>
      </c>
      <c r="AX131" s="8">
        <f>AX124/$D27</f>
        <v>2.8437528106667527</v>
      </c>
      <c r="AY131" s="8">
        <f>AY124/$E27</f>
        <v>2.993493142952616</v>
      </c>
      <c r="AZ131" s="8">
        <f>AZ124/$E27</f>
        <v>2.993493142952616</v>
      </c>
      <c r="BA131" s="8"/>
      <c r="BB131" s="8" t="e">
        <f aca="true" t="shared" si="103" ref="BB131:BI131">BB124/$D27</f>
        <v>#REF!</v>
      </c>
      <c r="BC131" s="8" t="e">
        <f t="shared" si="103"/>
        <v>#REF!</v>
      </c>
      <c r="BD131" s="8">
        <f t="shared" si="103"/>
        <v>2.8437528106667527</v>
      </c>
      <c r="BE131" s="8">
        <f t="shared" si="103"/>
        <v>2.8437528106667527</v>
      </c>
      <c r="BF131" s="8">
        <f t="shared" si="103"/>
        <v>2.8437528106667527</v>
      </c>
      <c r="BG131" s="8">
        <f t="shared" si="103"/>
        <v>2.8437528106667527</v>
      </c>
      <c r="BH131" s="8">
        <f t="shared" si="103"/>
        <v>2.8437528106667527</v>
      </c>
      <c r="BI131" s="8">
        <f t="shared" si="103"/>
        <v>2.8437528106667527</v>
      </c>
    </row>
    <row r="132" spans="1:61" ht="15">
      <c r="A132" s="9" t="s">
        <v>119</v>
      </c>
      <c r="B132" s="8">
        <f>SUM(B126:B131)</f>
        <v>15.249376504901164</v>
      </c>
      <c r="C132" s="8">
        <f>SUM(C126:C131)</f>
        <v>15.213916697794328</v>
      </c>
      <c r="D132" s="8">
        <f>SUM(D126:D131)</f>
        <v>14.59498470280402</v>
      </c>
      <c r="E132" s="8">
        <f>SUM(E126:E131)</f>
        <v>15.8836732695508</v>
      </c>
      <c r="F132" s="8"/>
      <c r="G132" s="8">
        <f aca="true" t="shared" si="104" ref="G132:AY132">SUM(G126:G131)</f>
        <v>15.160725580042296</v>
      </c>
      <c r="H132" s="8">
        <f t="shared" si="104"/>
        <v>14.945117791635152</v>
      </c>
      <c r="I132" s="8">
        <f t="shared" si="104"/>
        <v>14.964654008763963</v>
      </c>
      <c r="J132" s="8">
        <f t="shared" si="104"/>
        <v>15.111587094802154</v>
      </c>
      <c r="K132" s="8">
        <f t="shared" si="104"/>
        <v>15.36797933991874</v>
      </c>
      <c r="L132" s="8">
        <f t="shared" si="104"/>
        <v>15.656482184768851</v>
      </c>
      <c r="M132" s="8">
        <f t="shared" si="104"/>
        <v>15.626514554962032</v>
      </c>
      <c r="N132" s="8">
        <f t="shared" si="104"/>
        <v>15.348180426519846</v>
      </c>
      <c r="O132" s="8">
        <f t="shared" si="104"/>
        <v>15.101769023491379</v>
      </c>
      <c r="P132" s="8">
        <f t="shared" si="104"/>
        <v>15.141060566410731</v>
      </c>
      <c r="Q132" s="8">
        <f t="shared" si="104"/>
        <v>14.740771555886656</v>
      </c>
      <c r="R132" s="8">
        <f t="shared" si="104"/>
        <v>14.55712865907616</v>
      </c>
      <c r="S132" s="8">
        <f t="shared" si="104"/>
        <v>14.231482335845662</v>
      </c>
      <c r="T132" s="8">
        <f t="shared" si="104"/>
        <v>14.260060998995222</v>
      </c>
      <c r="U132" s="8">
        <f t="shared" si="104"/>
        <v>14.241005210864053</v>
      </c>
      <c r="V132" s="8">
        <f t="shared" si="104"/>
        <v>14.164916036276049</v>
      </c>
      <c r="W132" s="8">
        <f t="shared" si="104"/>
        <v>14.221962808813416</v>
      </c>
      <c r="X132" s="8">
        <f t="shared" si="104"/>
        <v>14.808727486998016</v>
      </c>
      <c r="Y132" s="8">
        <f t="shared" si="104"/>
        <v>14.440135565406813</v>
      </c>
      <c r="Z132" s="8">
        <f t="shared" si="104"/>
        <v>14.477900274991836</v>
      </c>
      <c r="AA132" s="8">
        <f t="shared" si="104"/>
        <v>14.449572055273453</v>
      </c>
      <c r="AB132" s="8">
        <f t="shared" si="104"/>
        <v>14.430702203033638</v>
      </c>
      <c r="AC132" s="8">
        <f t="shared" si="104"/>
        <v>14.468454411551003</v>
      </c>
      <c r="AD132" s="8">
        <f t="shared" si="104"/>
        <v>14.430702203033638</v>
      </c>
      <c r="AE132" s="8">
        <f t="shared" si="104"/>
        <v>14.141382989809411</v>
      </c>
      <c r="AF132" s="8">
        <f t="shared" si="104"/>
        <v>14.32714205506014</v>
      </c>
      <c r="AG132" s="8">
        <f t="shared" si="104"/>
        <v>14.270814983069585</v>
      </c>
      <c r="AH132" s="8">
        <f t="shared" si="104"/>
        <v>14.270814983069585</v>
      </c>
      <c r="AI132" s="8">
        <f t="shared" si="104"/>
        <v>14.270814983069585</v>
      </c>
      <c r="AJ132" s="8">
        <f t="shared" si="104"/>
        <v>14.158501794097353</v>
      </c>
      <c r="AK132" s="8">
        <f t="shared" si="104"/>
        <v>13.85247068654226</v>
      </c>
      <c r="AL132" s="8">
        <f t="shared" si="104"/>
        <v>13.752038781068292</v>
      </c>
      <c r="AM132" s="8">
        <f t="shared" si="104"/>
        <v>13.597571241598562</v>
      </c>
      <c r="AN132" s="8">
        <f t="shared" si="104"/>
        <v>13.570406659989025</v>
      </c>
      <c r="AO132" s="8">
        <f t="shared" si="104"/>
        <v>13.408017213764905</v>
      </c>
      <c r="AP132" s="8">
        <f t="shared" si="104"/>
        <v>13.291376709417618</v>
      </c>
      <c r="AQ132" s="8">
        <f t="shared" si="104"/>
        <v>13.318245856476318</v>
      </c>
      <c r="AR132" s="8">
        <f t="shared" si="104"/>
        <v>13.72243809230039</v>
      </c>
      <c r="AS132" s="8">
        <f t="shared" si="104"/>
        <v>13.624764200989596</v>
      </c>
      <c r="AT132" s="8">
        <f>SUM(AT126:AT131)</f>
        <v>13.624764200989596</v>
      </c>
      <c r="AU132" s="8">
        <f t="shared" si="104"/>
        <v>13.624764200989596</v>
      </c>
      <c r="AV132" s="8">
        <f t="shared" si="104"/>
        <v>13.624764200989596</v>
      </c>
      <c r="AW132" s="8">
        <f t="shared" si="104"/>
        <v>13.624764200989596</v>
      </c>
      <c r="AX132" s="8">
        <f t="shared" si="104"/>
        <v>13.624764200989596</v>
      </c>
      <c r="AY132" s="8">
        <f t="shared" si="104"/>
        <v>14.503472219149138</v>
      </c>
      <c r="AZ132" s="8">
        <f>SUM(AZ126:AZ131)</f>
        <v>14.503472219149138</v>
      </c>
      <c r="BA132" s="8"/>
      <c r="BB132" s="8" t="e">
        <f aca="true" t="shared" si="105" ref="BB132:BI132">SUM(BB126:BB131)</f>
        <v>#REF!</v>
      </c>
      <c r="BC132" s="8" t="e">
        <f t="shared" si="105"/>
        <v>#REF!</v>
      </c>
      <c r="BD132" s="8">
        <f t="shared" si="105"/>
        <v>13.624764200989596</v>
      </c>
      <c r="BE132" s="8">
        <f t="shared" si="105"/>
        <v>13.624764200989596</v>
      </c>
      <c r="BF132" s="8">
        <f t="shared" si="105"/>
        <v>13.624764200989596</v>
      </c>
      <c r="BG132" s="8">
        <f t="shared" si="105"/>
        <v>13.624764200989596</v>
      </c>
      <c r="BH132" s="8">
        <f t="shared" si="105"/>
        <v>13.624764200989596</v>
      </c>
      <c r="BI132" s="8">
        <f t="shared" si="105"/>
        <v>13.624764200989596</v>
      </c>
    </row>
    <row r="133" spans="1:6" ht="15">
      <c r="A133" s="9"/>
      <c r="B133" s="8"/>
      <c r="C133" s="8"/>
      <c r="D133" s="8"/>
      <c r="E133" s="8"/>
      <c r="F133" s="8"/>
    </row>
    <row r="134" spans="1:61" ht="15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</row>
    <row r="135" spans="1:61" ht="15">
      <c r="A135" s="9"/>
      <c r="B135" s="2">
        <v>2007</v>
      </c>
      <c r="C135" s="2">
        <v>2008</v>
      </c>
      <c r="D135" s="2">
        <v>2009</v>
      </c>
      <c r="E135" s="2">
        <v>2010</v>
      </c>
      <c r="F135" s="6"/>
      <c r="G135" s="6">
        <v>39448</v>
      </c>
      <c r="H135" s="6">
        <v>39479</v>
      </c>
      <c r="I135" s="6">
        <v>39508</v>
      </c>
      <c r="J135" s="6">
        <v>39539</v>
      </c>
      <c r="K135" s="6">
        <v>39569</v>
      </c>
      <c r="L135" s="6">
        <v>39600</v>
      </c>
      <c r="M135" s="6">
        <v>39630</v>
      </c>
      <c r="N135" s="6">
        <v>39661</v>
      </c>
      <c r="O135" s="6">
        <v>39692</v>
      </c>
      <c r="P135" s="6">
        <v>39722</v>
      </c>
      <c r="Q135" s="6">
        <v>39753</v>
      </c>
      <c r="R135" s="6">
        <v>39783</v>
      </c>
      <c r="S135" s="6">
        <v>39814</v>
      </c>
      <c r="T135" s="6">
        <v>39845</v>
      </c>
      <c r="U135" s="6">
        <v>39873</v>
      </c>
      <c r="V135" s="6">
        <v>39904</v>
      </c>
      <c r="W135" s="6">
        <v>39934</v>
      </c>
      <c r="X135" s="6">
        <v>39965</v>
      </c>
      <c r="Y135" s="6">
        <v>39995</v>
      </c>
      <c r="Z135" s="6">
        <v>40026</v>
      </c>
      <c r="AA135" s="6">
        <v>40057</v>
      </c>
      <c r="AB135" s="6">
        <v>40087</v>
      </c>
      <c r="AC135" s="6">
        <v>40118</v>
      </c>
      <c r="AD135" s="6">
        <v>40148</v>
      </c>
      <c r="AE135" s="6">
        <v>40179</v>
      </c>
      <c r="AF135" s="6">
        <v>40210</v>
      </c>
      <c r="AG135" s="6">
        <v>40238</v>
      </c>
      <c r="AH135" s="6">
        <v>40269</v>
      </c>
      <c r="AI135" s="6">
        <v>40299</v>
      </c>
      <c r="AJ135" s="6">
        <v>40330</v>
      </c>
      <c r="AK135" s="6">
        <v>40360</v>
      </c>
      <c r="AL135" s="6">
        <v>40391</v>
      </c>
      <c r="AM135" s="6">
        <v>40422</v>
      </c>
      <c r="AN135" s="6">
        <v>40452</v>
      </c>
      <c r="AO135" s="6">
        <v>40483</v>
      </c>
      <c r="AP135" s="6">
        <v>40513</v>
      </c>
      <c r="AQ135" s="6">
        <v>40544</v>
      </c>
      <c r="AR135" s="6">
        <v>40575</v>
      </c>
      <c r="AS135" s="6">
        <v>40603</v>
      </c>
      <c r="AT135" s="6">
        <v>40634</v>
      </c>
      <c r="AU135" s="6">
        <v>40664</v>
      </c>
      <c r="AV135" s="6">
        <v>40695</v>
      </c>
      <c r="AW135" s="6">
        <v>40725</v>
      </c>
      <c r="AX135" s="6">
        <v>40756</v>
      </c>
      <c r="AY135" s="6">
        <v>40787</v>
      </c>
      <c r="AZ135" s="6">
        <v>40817</v>
      </c>
      <c r="BA135" s="6"/>
      <c r="BB135" s="6" t="e">
        <f>'Financial assumptions'!#REF!</f>
        <v>#REF!</v>
      </c>
      <c r="BC135" s="6" t="e">
        <f>'Financial assumptions'!#REF!</f>
        <v>#REF!</v>
      </c>
      <c r="BD135" s="6">
        <f>'Financial assumptions'!BM3</f>
        <v>40848</v>
      </c>
      <c r="BE135" s="6">
        <f>'Financial assumptions'!BN3</f>
        <v>40909</v>
      </c>
      <c r="BF135" s="6">
        <f>'Financial assumptions'!BO3</f>
        <v>40969</v>
      </c>
      <c r="BG135" s="6">
        <f>'Financial assumptions'!BP3</f>
        <v>41030</v>
      </c>
      <c r="BH135" s="6">
        <f>'Financial assumptions'!BQ3</f>
        <v>41091</v>
      </c>
      <c r="BI135" s="6">
        <f>'Financial assumptions'!BR3</f>
        <v>41214</v>
      </c>
    </row>
    <row r="136" spans="1:22" ht="15">
      <c r="A136" s="21" t="s">
        <v>120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61" ht="15">
      <c r="A137" s="21" t="s">
        <v>121</v>
      </c>
      <c r="B137" s="51">
        <f>SUM(B138:B144)</f>
        <v>89.66818051172578</v>
      </c>
      <c r="C137" s="51">
        <f>SUM(C138:C144)</f>
        <v>104.97613349431823</v>
      </c>
      <c r="D137" s="51">
        <f>SUM(D138:D144)</f>
        <v>105.47479073363688</v>
      </c>
      <c r="E137" s="51">
        <f>SUM(E138:E144)</f>
        <v>115.57214864680284</v>
      </c>
      <c r="F137" s="51"/>
      <c r="G137" s="51">
        <f aca="true" t="shared" si="106" ref="G137:AK137">SUM(G138:G144)</f>
        <v>108.95410904119876</v>
      </c>
      <c r="H137" s="51">
        <f t="shared" si="106"/>
        <v>105.51118210788223</v>
      </c>
      <c r="I137" s="51">
        <f t="shared" si="106"/>
        <v>109.03692397335908</v>
      </c>
      <c r="J137" s="51">
        <f t="shared" si="106"/>
        <v>114.89722349779757</v>
      </c>
      <c r="K137" s="51">
        <f t="shared" si="106"/>
        <v>116.29002650433033</v>
      </c>
      <c r="L137" s="51">
        <f t="shared" si="106"/>
        <v>116.47318983151663</v>
      </c>
      <c r="M137" s="51">
        <f t="shared" si="106"/>
        <v>116.11119956670974</v>
      </c>
      <c r="N137" s="51" t="e">
        <f t="shared" si="106"/>
        <v>#REF!</v>
      </c>
      <c r="O137" s="51" t="e">
        <f t="shared" si="106"/>
        <v>#REF!</v>
      </c>
      <c r="P137" s="51" t="e">
        <f t="shared" si="106"/>
        <v>#REF!</v>
      </c>
      <c r="Q137" s="51" t="e">
        <f t="shared" si="106"/>
        <v>#REF!</v>
      </c>
      <c r="R137" s="51">
        <f t="shared" si="106"/>
        <v>113.53130628615855</v>
      </c>
      <c r="S137" s="51">
        <f t="shared" si="106"/>
        <v>107.55641128887322</v>
      </c>
      <c r="T137" s="51" t="e">
        <f t="shared" si="106"/>
        <v>#REF!</v>
      </c>
      <c r="U137" s="51">
        <f t="shared" si="106"/>
        <v>96.68934516194766</v>
      </c>
      <c r="V137" s="51">
        <f t="shared" si="106"/>
        <v>98.2084803190952</v>
      </c>
      <c r="W137" s="51" t="e">
        <f t="shared" si="106"/>
        <v>#REF!</v>
      </c>
      <c r="X137" s="51">
        <f t="shared" si="106"/>
        <v>105.169396121141</v>
      </c>
      <c r="Y137" s="51">
        <f t="shared" si="106"/>
        <v>108.9100223828348</v>
      </c>
      <c r="Z137" s="51">
        <f t="shared" si="106"/>
        <v>112.78142172205422</v>
      </c>
      <c r="AA137" s="51">
        <f t="shared" si="106"/>
        <v>110.08046358331467</v>
      </c>
      <c r="AB137" s="51">
        <f t="shared" si="106"/>
        <v>105.25800200235378</v>
      </c>
      <c r="AC137" s="51">
        <f t="shared" si="106"/>
        <v>102.18518578090035</v>
      </c>
      <c r="AD137" s="51">
        <f t="shared" si="106"/>
        <v>101.7427452821003</v>
      </c>
      <c r="AE137" s="51">
        <f t="shared" si="106"/>
        <v>102.56309678946153</v>
      </c>
      <c r="AF137" s="51">
        <f t="shared" si="106"/>
        <v>104.23449393193637</v>
      </c>
      <c r="AG137" s="51">
        <f t="shared" si="106"/>
        <v>106.05695764736365</v>
      </c>
      <c r="AH137" s="51">
        <f t="shared" si="106"/>
        <v>106.36970070944746</v>
      </c>
      <c r="AI137" s="51">
        <f t="shared" si="106"/>
        <v>106.88124489485512</v>
      </c>
      <c r="AJ137" s="51">
        <f t="shared" si="106"/>
        <v>106.63126309105155</v>
      </c>
      <c r="AK137" s="51">
        <f t="shared" si="106"/>
        <v>105.70248138485736</v>
      </c>
      <c r="AL137" s="51">
        <f aca="true" t="shared" si="107" ref="AL137:AQ137">SUM(AL138:AL144)</f>
        <v>105.7656522542653</v>
      </c>
      <c r="AM137" s="51">
        <f t="shared" si="107"/>
        <v>107.31193382143961</v>
      </c>
      <c r="AN137" s="51">
        <f t="shared" si="107"/>
        <v>106.94052744048675</v>
      </c>
      <c r="AO137" s="51">
        <f t="shared" si="107"/>
        <v>112.23553789050679</v>
      </c>
      <c r="AP137" s="51">
        <f t="shared" si="107"/>
        <v>120.58485706631716</v>
      </c>
      <c r="AQ137" s="51">
        <f t="shared" si="107"/>
        <v>134.21829970549874</v>
      </c>
      <c r="AR137" s="51">
        <f aca="true" t="shared" si="108" ref="AR137:AW137">SUM(AR138:AR144)</f>
        <v>130.2792227687688</v>
      </c>
      <c r="AS137" s="51">
        <f t="shared" si="108"/>
        <v>138.51098861487483</v>
      </c>
      <c r="AT137" s="51">
        <f t="shared" si="108"/>
        <v>133.7306948949464</v>
      </c>
      <c r="AU137" s="51">
        <f t="shared" si="108"/>
        <v>133.87034374249657</v>
      </c>
      <c r="AV137" s="51">
        <f t="shared" si="108"/>
        <v>125.8402064299876</v>
      </c>
      <c r="AW137" s="51">
        <f t="shared" si="108"/>
        <v>125.99078241284207</v>
      </c>
      <c r="AX137" s="51">
        <f>SUM(AX138:AX144)</f>
        <v>127.77879709857825</v>
      </c>
      <c r="AY137" s="51">
        <f>SUM(AY138:AY144)</f>
        <v>128.01245384052888</v>
      </c>
      <c r="AZ137" s="51">
        <f>SUM(AZ138:AZ144)</f>
        <v>127.74030447160177</v>
      </c>
      <c r="BA137" s="51"/>
      <c r="BB137" s="51" t="e">
        <f aca="true" t="shared" si="109" ref="BB137:BI137">SUM(BB138:BB144)</f>
        <v>#REF!</v>
      </c>
      <c r="BC137" s="51" t="e">
        <f t="shared" si="109"/>
        <v>#REF!</v>
      </c>
      <c r="BD137" s="51">
        <f>SUM(BD138:BD144)</f>
        <v>121.28367639136692</v>
      </c>
      <c r="BE137" s="51">
        <f t="shared" si="109"/>
        <v>121.84739917388613</v>
      </c>
      <c r="BF137" s="51">
        <f t="shared" si="109"/>
        <v>122.5696214873052</v>
      </c>
      <c r="BG137" s="51">
        <f t="shared" si="109"/>
        <v>123.28166717861784</v>
      </c>
      <c r="BH137" s="51">
        <f t="shared" si="109"/>
        <v>123.64390013837358</v>
      </c>
      <c r="BI137" s="51">
        <f t="shared" si="109"/>
        <v>119.01103591022839</v>
      </c>
    </row>
    <row r="138" spans="1:61" ht="15">
      <c r="A138" s="9" t="s">
        <v>29</v>
      </c>
      <c r="B138" s="53">
        <f>(B42*B52/B5+B44*B53+B46*B54)/B33/10</f>
        <v>61.07346576052606</v>
      </c>
      <c r="C138" s="53">
        <f>(C42*C52/C5+C44*C53+C46*C54)/C33/10</f>
        <v>76.15225310540333</v>
      </c>
      <c r="D138" s="53">
        <f>(D42*D52/D5+D44*D53+D46*D54)/D33/10</f>
        <v>75.24298457754155</v>
      </c>
      <c r="E138" s="53">
        <f>(E42*E52/E5+E44*E53+E46*E54)/E33/10</f>
        <v>84.89004594007136</v>
      </c>
      <c r="F138" s="53"/>
      <c r="G138" s="53">
        <f aca="true" t="shared" si="110" ref="G138:X138">($B42*G52/$B5+$B44*G53+$B46*G54)/$B33/10</f>
        <v>80.42428118957277</v>
      </c>
      <c r="H138" s="53">
        <f t="shared" si="110"/>
        <v>76.57981221436637</v>
      </c>
      <c r="I138" s="53">
        <f t="shared" si="110"/>
        <v>80.06500210482977</v>
      </c>
      <c r="J138" s="53">
        <f t="shared" si="110"/>
        <v>85.81270644786352</v>
      </c>
      <c r="K138" s="53">
        <f t="shared" si="110"/>
        <v>87.16425009459041</v>
      </c>
      <c r="L138" s="53">
        <f t="shared" si="110"/>
        <v>87.31101866363177</v>
      </c>
      <c r="M138" s="53">
        <f t="shared" si="110"/>
        <v>86.92424612289034</v>
      </c>
      <c r="N138" s="53" t="e">
        <f t="shared" si="110"/>
        <v>#REF!</v>
      </c>
      <c r="O138" s="53" t="e">
        <f t="shared" si="110"/>
        <v>#REF!</v>
      </c>
      <c r="P138" s="53" t="e">
        <f t="shared" si="110"/>
        <v>#REF!</v>
      </c>
      <c r="Q138" s="53" t="e">
        <f t="shared" si="110"/>
        <v>#REF!</v>
      </c>
      <c r="R138" s="53">
        <f t="shared" si="110"/>
        <v>83.65914160088607</v>
      </c>
      <c r="S138" s="53">
        <f t="shared" si="110"/>
        <v>77.70155513084578</v>
      </c>
      <c r="T138" s="53" t="e">
        <f t="shared" si="110"/>
        <v>#REF!</v>
      </c>
      <c r="U138" s="53">
        <f t="shared" si="110"/>
        <v>66.98219747414007</v>
      </c>
      <c r="V138" s="53">
        <f t="shared" si="110"/>
        <v>68.61643138448721</v>
      </c>
      <c r="W138" s="53" t="e">
        <f t="shared" si="110"/>
        <v>#REF!</v>
      </c>
      <c r="X138" s="53">
        <f t="shared" si="110"/>
        <v>75.58245990535647</v>
      </c>
      <c r="Y138" s="53">
        <f aca="true" t="shared" si="111" ref="Y138:AJ138">($C42*Y52/$C5+$C44*Y53+$C46*Y54)/$C33/10</f>
        <v>79.90017303098128</v>
      </c>
      <c r="Z138" s="53">
        <f t="shared" si="111"/>
        <v>83.74378572134881</v>
      </c>
      <c r="AA138" s="53">
        <f t="shared" si="111"/>
        <v>81.04077904105733</v>
      </c>
      <c r="AB138" s="53">
        <f t="shared" si="111"/>
        <v>76.21390790663766</v>
      </c>
      <c r="AC138" s="53">
        <f t="shared" si="111"/>
        <v>73.12530358337328</v>
      </c>
      <c r="AD138" s="53">
        <f t="shared" si="111"/>
        <v>72.67599330444372</v>
      </c>
      <c r="AE138" s="53">
        <f t="shared" si="111"/>
        <v>73.47040646851211</v>
      </c>
      <c r="AF138" s="53">
        <f t="shared" si="111"/>
        <v>75.11345084830386</v>
      </c>
      <c r="AG138" s="53">
        <f t="shared" si="111"/>
        <v>77.03117384256385</v>
      </c>
      <c r="AH138" s="53">
        <f t="shared" si="111"/>
        <v>77.32125902270717</v>
      </c>
      <c r="AI138" s="53">
        <f t="shared" si="111"/>
        <v>77.88264256628163</v>
      </c>
      <c r="AJ138" s="53">
        <f t="shared" si="111"/>
        <v>77.63394295420592</v>
      </c>
      <c r="AK138" s="53">
        <f aca="true" t="shared" si="112" ref="AK138:AP138">($D42*AK52/$D5+$D44*AK53+$D46*AK54)/$D33/10</f>
        <v>75.30640978805536</v>
      </c>
      <c r="AL138" s="53">
        <f t="shared" si="112"/>
        <v>75.37535590991288</v>
      </c>
      <c r="AM138" s="53">
        <f t="shared" si="112"/>
        <v>76.92580378833546</v>
      </c>
      <c r="AN138" s="53">
        <f t="shared" si="112"/>
        <v>76.5579227476696</v>
      </c>
      <c r="AO138" s="53">
        <f t="shared" si="112"/>
        <v>81.83881880894539</v>
      </c>
      <c r="AP138" s="53">
        <f t="shared" si="112"/>
        <v>90.17498505245342</v>
      </c>
      <c r="AQ138" s="53">
        <f aca="true" t="shared" si="113" ref="AQ138:AV138">($D42*AQ52/$D5+$D44*AQ53+$D46*AQ54)/$D33/10</f>
        <v>103.59839376282416</v>
      </c>
      <c r="AR138" s="53">
        <f t="shared" si="113"/>
        <v>99.84101211025262</v>
      </c>
      <c r="AS138" s="53">
        <f t="shared" si="113"/>
        <v>107.74564871134494</v>
      </c>
      <c r="AT138" s="53">
        <f t="shared" si="113"/>
        <v>102.94899069050969</v>
      </c>
      <c r="AU138" s="53">
        <f t="shared" si="113"/>
        <v>103.10246601031413</v>
      </c>
      <c r="AV138" s="53">
        <f t="shared" si="113"/>
        <v>95.07007227184445</v>
      </c>
      <c r="AW138" s="53">
        <f>($D42*AW52/$D5+$D44*AW53+$D46*AW54)/$D33/10</f>
        <v>95.2206482546989</v>
      </c>
      <c r="AX138" s="53">
        <f>($D42*AX52/$D5+$D44*AX53+$D46*AX54)/$D33/10</f>
        <v>97.0086629404351</v>
      </c>
      <c r="AY138" s="53">
        <f>($E42*AY52/$E5+$E44*AY53+$E46*AY54)/$E33/10</f>
        <v>97.0312051289001</v>
      </c>
      <c r="AZ138" s="53">
        <f>($E42*AZ52/$E5+$E44*AZ53+$E46*AZ54)/$E33/10</f>
        <v>96.68566868345678</v>
      </c>
      <c r="BA138" s="53"/>
      <c r="BB138" s="53" t="e">
        <f aca="true" t="shared" si="114" ref="BB138:BI138">($D42*BB52/$D5+$D44*BB53+$D46*BB54)/$D33/10</f>
        <v>#REF!</v>
      </c>
      <c r="BC138" s="53" t="e">
        <f t="shared" si="114"/>
        <v>#REF!</v>
      </c>
      <c r="BD138" s="53">
        <f>($D42*BD52/$D5+$D44*BD53+$D46*BD54)/$D33/10</f>
        <v>90.51579865918448</v>
      </c>
      <c r="BE138" s="53">
        <f t="shared" si="114"/>
        <v>91.07952144170369</v>
      </c>
      <c r="BF138" s="53">
        <f t="shared" si="114"/>
        <v>91.80174375512276</v>
      </c>
      <c r="BG138" s="53">
        <f t="shared" si="114"/>
        <v>92.5137894464354</v>
      </c>
      <c r="BH138" s="53">
        <f t="shared" si="114"/>
        <v>92.87602240619114</v>
      </c>
      <c r="BI138" s="53">
        <f t="shared" si="114"/>
        <v>88.24315817804595</v>
      </c>
    </row>
    <row r="139" spans="1:61" ht="15">
      <c r="A139" s="9" t="s">
        <v>122</v>
      </c>
      <c r="B139" s="52">
        <f>(B63+B64)/B5/B33*100</f>
        <v>2.1129059903128975</v>
      </c>
      <c r="C139" s="52">
        <f>(C63+C64)/C5/C33*100</f>
        <v>1.2568734807505413</v>
      </c>
      <c r="D139" s="52">
        <f>(D63+D64)/D5/D33*100</f>
        <v>1.4346634030448124</v>
      </c>
      <c r="E139" s="52">
        <f>(E63+E64)/E5/E33*100</f>
        <v>1.353762762099402</v>
      </c>
      <c r="F139" s="52"/>
      <c r="G139" s="52">
        <f aca="true" t="shared" si="115" ref="G139:X139">($B63+$B64)/$B5/$B33*100</f>
        <v>2.1129059903128975</v>
      </c>
      <c r="H139" s="52">
        <f t="shared" si="115"/>
        <v>2.1129059903128975</v>
      </c>
      <c r="I139" s="52">
        <f t="shared" si="115"/>
        <v>2.1129059903128975</v>
      </c>
      <c r="J139" s="52">
        <f t="shared" si="115"/>
        <v>2.1129059903128975</v>
      </c>
      <c r="K139" s="52">
        <f t="shared" si="115"/>
        <v>2.1129059903128975</v>
      </c>
      <c r="L139" s="52">
        <f t="shared" si="115"/>
        <v>2.1129059903128975</v>
      </c>
      <c r="M139" s="52">
        <f t="shared" si="115"/>
        <v>2.1129059903128975</v>
      </c>
      <c r="N139" s="52">
        <f t="shared" si="115"/>
        <v>2.1129059903128975</v>
      </c>
      <c r="O139" s="52">
        <f t="shared" si="115"/>
        <v>2.1129059903128975</v>
      </c>
      <c r="P139" s="52">
        <f t="shared" si="115"/>
        <v>2.1129059903128975</v>
      </c>
      <c r="Q139" s="52">
        <f t="shared" si="115"/>
        <v>2.1129059903128975</v>
      </c>
      <c r="R139" s="52">
        <f t="shared" si="115"/>
        <v>2.1129059903128975</v>
      </c>
      <c r="S139" s="52">
        <f t="shared" si="115"/>
        <v>2.1129059903128975</v>
      </c>
      <c r="T139" s="52">
        <f t="shared" si="115"/>
        <v>2.1129059903128975</v>
      </c>
      <c r="U139" s="52">
        <f t="shared" si="115"/>
        <v>2.1129059903128975</v>
      </c>
      <c r="V139" s="52">
        <f t="shared" si="115"/>
        <v>2.1129059903128975</v>
      </c>
      <c r="W139" s="52">
        <f t="shared" si="115"/>
        <v>2.1129059903128975</v>
      </c>
      <c r="X139" s="52">
        <f t="shared" si="115"/>
        <v>2.1129059903128975</v>
      </c>
      <c r="Y139" s="52">
        <f aca="true" t="shared" si="116" ref="Y139:AJ139">($C63+$C64)/$C5/$C33*100</f>
        <v>1.2568734807505413</v>
      </c>
      <c r="Z139" s="52">
        <f t="shared" si="116"/>
        <v>1.2568734807505413</v>
      </c>
      <c r="AA139" s="52">
        <f t="shared" si="116"/>
        <v>1.2568734807505413</v>
      </c>
      <c r="AB139" s="52">
        <f t="shared" si="116"/>
        <v>1.2568734807505413</v>
      </c>
      <c r="AC139" s="52">
        <f t="shared" si="116"/>
        <v>1.2568734807505413</v>
      </c>
      <c r="AD139" s="52">
        <f t="shared" si="116"/>
        <v>1.2568734807505413</v>
      </c>
      <c r="AE139" s="52">
        <f t="shared" si="116"/>
        <v>1.2568734807505413</v>
      </c>
      <c r="AF139" s="52">
        <f t="shared" si="116"/>
        <v>1.2568734807505413</v>
      </c>
      <c r="AG139" s="52">
        <f t="shared" si="116"/>
        <v>1.2568734807505413</v>
      </c>
      <c r="AH139" s="52">
        <f t="shared" si="116"/>
        <v>1.2568734807505413</v>
      </c>
      <c r="AI139" s="52">
        <f t="shared" si="116"/>
        <v>1.2568734807505413</v>
      </c>
      <c r="AJ139" s="52">
        <f t="shared" si="116"/>
        <v>1.2568734807505413</v>
      </c>
      <c r="AK139" s="52">
        <f aca="true" t="shared" si="117" ref="AK139:AP139">($D63+$D64)/$D5/$D33*100</f>
        <v>1.4346634030448124</v>
      </c>
      <c r="AL139" s="52">
        <f t="shared" si="117"/>
        <v>1.4346634030448124</v>
      </c>
      <c r="AM139" s="52">
        <f t="shared" si="117"/>
        <v>1.4346634030448124</v>
      </c>
      <c r="AN139" s="52">
        <f t="shared" si="117"/>
        <v>1.4346634030448124</v>
      </c>
      <c r="AO139" s="52">
        <f t="shared" si="117"/>
        <v>1.4346634030448124</v>
      </c>
      <c r="AP139" s="52">
        <f t="shared" si="117"/>
        <v>1.4346634030448124</v>
      </c>
      <c r="AQ139" s="52">
        <f aca="true" t="shared" si="118" ref="AQ139:AV139">($D63+$D64)/$D5/$D33*100</f>
        <v>1.4346634030448124</v>
      </c>
      <c r="AR139" s="52">
        <f t="shared" si="118"/>
        <v>1.4346634030448124</v>
      </c>
      <c r="AS139" s="52">
        <f t="shared" si="118"/>
        <v>1.4346634030448124</v>
      </c>
      <c r="AT139" s="52">
        <f t="shared" si="118"/>
        <v>1.4346634030448124</v>
      </c>
      <c r="AU139" s="52">
        <f t="shared" si="118"/>
        <v>1.4346634030448124</v>
      </c>
      <c r="AV139" s="52">
        <f t="shared" si="118"/>
        <v>1.4346634030448124</v>
      </c>
      <c r="AW139" s="52">
        <f>($D63+$D64)/$D5/$D33*100</f>
        <v>1.4346634030448124</v>
      </c>
      <c r="AX139" s="52">
        <f>($D63+$D64)/$D5/$D33*100</f>
        <v>1.4346634030448124</v>
      </c>
      <c r="AY139" s="52">
        <f>($E63+$E64)/$E5/$E33*100</f>
        <v>1.353762762099402</v>
      </c>
      <c r="AZ139" s="52">
        <f>($E63+$E64)/$E5/$E33*100</f>
        <v>1.353762762099402</v>
      </c>
      <c r="BA139" s="52"/>
      <c r="BB139" s="52">
        <f aca="true" t="shared" si="119" ref="BB139:BI139">($D63+$D64)/$D5/$D33*100</f>
        <v>1.4346634030448124</v>
      </c>
      <c r="BC139" s="52">
        <f t="shared" si="119"/>
        <v>1.4346634030448124</v>
      </c>
      <c r="BD139" s="52">
        <f t="shared" si="119"/>
        <v>1.4346634030448124</v>
      </c>
      <c r="BE139" s="52">
        <f t="shared" si="119"/>
        <v>1.4346634030448124</v>
      </c>
      <c r="BF139" s="52">
        <f t="shared" si="119"/>
        <v>1.4346634030448124</v>
      </c>
      <c r="BG139" s="52">
        <f t="shared" si="119"/>
        <v>1.4346634030448124</v>
      </c>
      <c r="BH139" s="52">
        <f t="shared" si="119"/>
        <v>1.4346634030448124</v>
      </c>
      <c r="BI139" s="52">
        <f t="shared" si="119"/>
        <v>1.4346634030448124</v>
      </c>
    </row>
    <row r="140" spans="1:61" ht="15">
      <c r="A140" s="9" t="s">
        <v>123</v>
      </c>
      <c r="B140" s="52">
        <f>(B56/B5+B57)/B33*100</f>
        <v>3.1989904097415782</v>
      </c>
      <c r="C140" s="52">
        <f>(C56/C5+C57)/C33*100</f>
        <v>3.4267527164464404</v>
      </c>
      <c r="D140" s="52">
        <f>(D56/D5+D57)/D33*100</f>
        <v>3.0582611347375477</v>
      </c>
      <c r="E140" s="52">
        <f>(E56/E5+E57)/E33*100</f>
        <v>2.8585238333567835</v>
      </c>
      <c r="F140" s="52"/>
      <c r="G140" s="52">
        <f aca="true" t="shared" si="120" ref="G140:X140">($B56/$B5+$B57)/$B33*100</f>
        <v>3.1989904097415782</v>
      </c>
      <c r="H140" s="52">
        <f t="shared" si="120"/>
        <v>3.1989904097415782</v>
      </c>
      <c r="I140" s="52">
        <f t="shared" si="120"/>
        <v>3.1989904097415782</v>
      </c>
      <c r="J140" s="52">
        <f t="shared" si="120"/>
        <v>3.1989904097415782</v>
      </c>
      <c r="K140" s="52">
        <f t="shared" si="120"/>
        <v>3.1989904097415782</v>
      </c>
      <c r="L140" s="52">
        <f t="shared" si="120"/>
        <v>3.1989904097415782</v>
      </c>
      <c r="M140" s="52">
        <f t="shared" si="120"/>
        <v>3.1989904097415782</v>
      </c>
      <c r="N140" s="52">
        <f t="shared" si="120"/>
        <v>3.1989904097415782</v>
      </c>
      <c r="O140" s="52">
        <f t="shared" si="120"/>
        <v>3.1989904097415782</v>
      </c>
      <c r="P140" s="52">
        <f t="shared" si="120"/>
        <v>3.1989904097415782</v>
      </c>
      <c r="Q140" s="52">
        <f t="shared" si="120"/>
        <v>3.1989904097415782</v>
      </c>
      <c r="R140" s="52">
        <f t="shared" si="120"/>
        <v>3.1989904097415782</v>
      </c>
      <c r="S140" s="52">
        <f t="shared" si="120"/>
        <v>3.1989904097415782</v>
      </c>
      <c r="T140" s="52">
        <f t="shared" si="120"/>
        <v>3.1989904097415782</v>
      </c>
      <c r="U140" s="52">
        <f t="shared" si="120"/>
        <v>3.1989904097415782</v>
      </c>
      <c r="V140" s="52">
        <f t="shared" si="120"/>
        <v>3.1989904097415782</v>
      </c>
      <c r="W140" s="52">
        <f t="shared" si="120"/>
        <v>3.1989904097415782</v>
      </c>
      <c r="X140" s="52">
        <f t="shared" si="120"/>
        <v>3.1989904097415782</v>
      </c>
      <c r="Y140" s="52">
        <f aca="true" t="shared" si="121" ref="Y140:AJ140">($C56/$C5+$C57)/$C33*100</f>
        <v>3.4267527164464404</v>
      </c>
      <c r="Z140" s="52">
        <f t="shared" si="121"/>
        <v>3.4267527164464404</v>
      </c>
      <c r="AA140" s="52">
        <f t="shared" si="121"/>
        <v>3.4267527164464404</v>
      </c>
      <c r="AB140" s="52">
        <f t="shared" si="121"/>
        <v>3.4267527164464404</v>
      </c>
      <c r="AC140" s="52">
        <f t="shared" si="121"/>
        <v>3.4267527164464404</v>
      </c>
      <c r="AD140" s="52">
        <f t="shared" si="121"/>
        <v>3.4267527164464404</v>
      </c>
      <c r="AE140" s="52">
        <f t="shared" si="121"/>
        <v>3.4267527164464404</v>
      </c>
      <c r="AF140" s="52">
        <f t="shared" si="121"/>
        <v>3.4267527164464404</v>
      </c>
      <c r="AG140" s="52">
        <f t="shared" si="121"/>
        <v>3.4267527164464404</v>
      </c>
      <c r="AH140" s="52">
        <f t="shared" si="121"/>
        <v>3.4267527164464404</v>
      </c>
      <c r="AI140" s="52">
        <f t="shared" si="121"/>
        <v>3.4267527164464404</v>
      </c>
      <c r="AJ140" s="52">
        <f t="shared" si="121"/>
        <v>3.4267527164464404</v>
      </c>
      <c r="AK140" s="52">
        <f aca="true" t="shared" si="122" ref="AK140:AP140">($D56/$D5+$D57)/$D33*100</f>
        <v>3.0582611347375477</v>
      </c>
      <c r="AL140" s="52">
        <f t="shared" si="122"/>
        <v>3.0582611347375477</v>
      </c>
      <c r="AM140" s="52">
        <f t="shared" si="122"/>
        <v>3.0582611347375477</v>
      </c>
      <c r="AN140" s="52">
        <f t="shared" si="122"/>
        <v>3.0582611347375477</v>
      </c>
      <c r="AO140" s="52">
        <f t="shared" si="122"/>
        <v>3.0582611347375477</v>
      </c>
      <c r="AP140" s="52">
        <f t="shared" si="122"/>
        <v>3.0582611347375477</v>
      </c>
      <c r="AQ140" s="52">
        <f aca="true" t="shared" si="123" ref="AQ140:AV140">($D56/$D5+$D57)/$D33*100</f>
        <v>3.0582611347375477</v>
      </c>
      <c r="AR140" s="52">
        <f t="shared" si="123"/>
        <v>3.0582611347375477</v>
      </c>
      <c r="AS140" s="52">
        <f t="shared" si="123"/>
        <v>3.0582611347375477</v>
      </c>
      <c r="AT140" s="52">
        <f t="shared" si="123"/>
        <v>3.0582611347375477</v>
      </c>
      <c r="AU140" s="52">
        <f t="shared" si="123"/>
        <v>3.0582611347375477</v>
      </c>
      <c r="AV140" s="52">
        <f t="shared" si="123"/>
        <v>3.0582611347375477</v>
      </c>
      <c r="AW140" s="52">
        <f>($D56/$D5+$D57)/$D33*100</f>
        <v>3.0582611347375477</v>
      </c>
      <c r="AX140" s="52">
        <f>($D56/$D5+$D57)/$D33*100</f>
        <v>3.0582611347375477</v>
      </c>
      <c r="AY140" s="52">
        <f>($E56/$E5+$E57)/$E33*100</f>
        <v>2.8585238333567835</v>
      </c>
      <c r="AZ140" s="52">
        <f>($E56/$E5+$E57)/$E33*100</f>
        <v>2.8585238333567835</v>
      </c>
      <c r="BA140" s="52"/>
      <c r="BB140" s="52">
        <f aca="true" t="shared" si="124" ref="BB140:BI140">($D56/$D5+$D57)/$D33*100</f>
        <v>3.0582611347375477</v>
      </c>
      <c r="BC140" s="52">
        <f t="shared" si="124"/>
        <v>3.0582611347375477</v>
      </c>
      <c r="BD140" s="52">
        <f t="shared" si="124"/>
        <v>3.0582611347375477</v>
      </c>
      <c r="BE140" s="52">
        <f t="shared" si="124"/>
        <v>3.0582611347375477</v>
      </c>
      <c r="BF140" s="52">
        <f t="shared" si="124"/>
        <v>3.0582611347375477</v>
      </c>
      <c r="BG140" s="52">
        <f t="shared" si="124"/>
        <v>3.0582611347375477</v>
      </c>
      <c r="BH140" s="52">
        <f t="shared" si="124"/>
        <v>3.0582611347375477</v>
      </c>
      <c r="BI140" s="52">
        <f t="shared" si="124"/>
        <v>3.0582611347375477</v>
      </c>
    </row>
    <row r="141" spans="1:61" ht="15">
      <c r="A141" s="9" t="s">
        <v>124</v>
      </c>
      <c r="B141" s="52">
        <f>(B59/B5+B60)/B33*100</f>
        <v>3.886498162274663</v>
      </c>
      <c r="C141" s="52">
        <f>(C59/C5+C60)/C33*100</f>
        <v>4.46967092047277</v>
      </c>
      <c r="D141" s="52">
        <f>(D59/D5+D60)/D33*100</f>
        <v>4.582290658240026</v>
      </c>
      <c r="E141" s="52">
        <f>(E59/E5+E60)/E33*100</f>
        <v>4.420587717270909</v>
      </c>
      <c r="F141" s="52"/>
      <c r="G141" s="52">
        <f aca="true" t="shared" si="125" ref="G141:X141">(G59/$B5+G60)/$B33*100</f>
        <v>3.8032091411045603</v>
      </c>
      <c r="H141" s="52">
        <f t="shared" si="125"/>
        <v>4.204158615109472</v>
      </c>
      <c r="I141" s="52">
        <f t="shared" si="125"/>
        <v>4.236118355791023</v>
      </c>
      <c r="J141" s="52">
        <f t="shared" si="125"/>
        <v>4.340713870748825</v>
      </c>
      <c r="K141" s="52">
        <f t="shared" si="125"/>
        <v>4.366862749488276</v>
      </c>
      <c r="L141" s="52">
        <f t="shared" si="125"/>
        <v>4.384295335314577</v>
      </c>
      <c r="M141" s="52">
        <f t="shared" si="125"/>
        <v>4.404633352111928</v>
      </c>
      <c r="N141" s="52">
        <f t="shared" si="125"/>
        <v>4.660311277564334</v>
      </c>
      <c r="O141" s="52">
        <f t="shared" si="125"/>
        <v>5.235586609832251</v>
      </c>
      <c r="P141" s="52">
        <f t="shared" si="125"/>
        <v>5.229775747890151</v>
      </c>
      <c r="Q141" s="52">
        <f t="shared" si="125"/>
        <v>5.209437731092801</v>
      </c>
      <c r="R141" s="52">
        <f t="shared" si="125"/>
        <v>5.18909971429545</v>
      </c>
      <c r="S141" s="52">
        <f t="shared" si="125"/>
        <v>5.1803834213823</v>
      </c>
      <c r="T141" s="52">
        <f t="shared" si="125"/>
        <v>5.1687616974981</v>
      </c>
      <c r="U141" s="52">
        <f t="shared" si="125"/>
        <v>5.023490148945595</v>
      </c>
      <c r="V141" s="52">
        <f t="shared" si="125"/>
        <v>4.895651186219392</v>
      </c>
      <c r="W141" s="52">
        <f t="shared" si="125"/>
        <v>4.84916429068259</v>
      </c>
      <c r="X141" s="52">
        <f t="shared" si="125"/>
        <v>4.869502307479942</v>
      </c>
      <c r="Y141" s="52">
        <f aca="true" t="shared" si="126" ref="Y141:AJ141">(Y59/$C5+Y60)/$C33*100</f>
        <v>4.692202772724897</v>
      </c>
      <c r="Z141" s="52">
        <f t="shared" si="126"/>
        <v>4.714761439901459</v>
      </c>
      <c r="AA141" s="52">
        <f t="shared" si="126"/>
        <v>4.709121773107317</v>
      </c>
      <c r="AB141" s="52">
        <f t="shared" si="126"/>
        <v>4.714761439901459</v>
      </c>
      <c r="AC141" s="52">
        <f t="shared" si="126"/>
        <v>4.720401106695599</v>
      </c>
      <c r="AD141" s="52">
        <f t="shared" si="126"/>
        <v>4.726040773489739</v>
      </c>
      <c r="AE141" s="52">
        <f t="shared" si="126"/>
        <v>4.781732483081877</v>
      </c>
      <c r="AF141" s="52">
        <f t="shared" si="126"/>
        <v>4.768338274445794</v>
      </c>
      <c r="AG141" s="52">
        <f t="shared" si="126"/>
        <v>4.672463938945405</v>
      </c>
      <c r="AH141" s="52">
        <f t="shared" si="126"/>
        <v>4.683743272533685</v>
      </c>
      <c r="AI141" s="52">
        <f t="shared" si="126"/>
        <v>4.616067271004</v>
      </c>
      <c r="AJ141" s="52">
        <f t="shared" si="126"/>
        <v>4.613247437606929</v>
      </c>
      <c r="AK141" s="52">
        <f aca="true" t="shared" si="127" ref="AK141:AP141">(AK59/$D5+AK60)/$D33*100</f>
        <v>4.720812141258164</v>
      </c>
      <c r="AL141" s="52">
        <f t="shared" si="127"/>
        <v>4.717921258134306</v>
      </c>
      <c r="AM141" s="52">
        <f t="shared" si="127"/>
        <v>4.717921258134306</v>
      </c>
      <c r="AN141" s="52">
        <f t="shared" si="127"/>
        <v>4.717921258134306</v>
      </c>
      <c r="AO141" s="52">
        <f t="shared" si="127"/>
        <v>4.72370302438202</v>
      </c>
      <c r="AP141" s="52">
        <f t="shared" si="127"/>
        <v>4.7294847906297335</v>
      </c>
      <c r="AQ141" s="52">
        <f aca="true" t="shared" si="128" ref="AQ141:AV141">(AQ59/$D5+AQ60)/$D33*100</f>
        <v>4.92317395992814</v>
      </c>
      <c r="AR141" s="52">
        <f t="shared" si="128"/>
        <v>4.76610264353192</v>
      </c>
      <c r="AS141" s="52">
        <f t="shared" si="128"/>
        <v>5.035918401758555</v>
      </c>
      <c r="AT141" s="52">
        <f t="shared" si="128"/>
        <v>5.044591051130126</v>
      </c>
      <c r="AU141" s="52">
        <f t="shared" si="128"/>
        <v>5.024354869263129</v>
      </c>
      <c r="AV141" s="52">
        <f t="shared" si="128"/>
        <v>5.030136635510842</v>
      </c>
      <c r="AW141" s="52">
        <f>(AW59/$D5+AW60)/$D33*100</f>
        <v>5.030136635510842</v>
      </c>
      <c r="AX141" s="52">
        <f>(AX59/$D5+AX60)/$D33*100</f>
        <v>5.030136635510842</v>
      </c>
      <c r="AY141" s="52">
        <f>(AY59/$E5+AY60)/$E33*100</f>
        <v>4.6618265099878435</v>
      </c>
      <c r="AZ141" s="52">
        <f>(AZ59/$E5+AZ60)/$E33*100</f>
        <v>4.728883853342098</v>
      </c>
      <c r="BA141" s="52"/>
      <c r="BB141" s="52" t="e">
        <f aca="true" t="shared" si="129" ref="BB141:BI141">(BB59/$D5+BB60)/$D33*100</f>
        <v>#REF!</v>
      </c>
      <c r="BC141" s="52" t="e">
        <f t="shared" si="129"/>
        <v>#REF!</v>
      </c>
      <c r="BD141" s="52">
        <f t="shared" si="129"/>
        <v>5.024354869263129</v>
      </c>
      <c r="BE141" s="52">
        <f t="shared" si="129"/>
        <v>5.024354869263129</v>
      </c>
      <c r="BF141" s="52">
        <f t="shared" si="129"/>
        <v>5.024354869263129</v>
      </c>
      <c r="BG141" s="52">
        <f t="shared" si="129"/>
        <v>5.024354869263129</v>
      </c>
      <c r="BH141" s="52">
        <f t="shared" si="129"/>
        <v>5.024354869263129</v>
      </c>
      <c r="BI141" s="52">
        <f t="shared" si="129"/>
        <v>5.024354869263129</v>
      </c>
    </row>
    <row r="142" spans="1:61" ht="15">
      <c r="A142" s="9" t="s">
        <v>125</v>
      </c>
      <c r="B142" s="52">
        <f>(B74/B5+B75+B76)/B33*100</f>
        <v>7.626790217562121</v>
      </c>
      <c r="C142" s="52">
        <f>(C74/C5+C75+C76)/C33*100</f>
        <v>8.047631030593214</v>
      </c>
      <c r="D142" s="52">
        <f>(D74/D5+D75+D76)/D33*100</f>
        <v>7.907240589225657</v>
      </c>
      <c r="E142" s="52">
        <f>(E74/E5+E75+E76)/E33*100</f>
        <v>8.452776066120636</v>
      </c>
      <c r="F142" s="52"/>
      <c r="G142" s="52">
        <f aca="true" t="shared" si="130" ref="G142:X142">($B74/$B5+$B75+$B76)/$B33*100</f>
        <v>7.626790217562121</v>
      </c>
      <c r="H142" s="52">
        <f t="shared" si="130"/>
        <v>7.626790217562121</v>
      </c>
      <c r="I142" s="52">
        <f t="shared" si="130"/>
        <v>7.626790217562121</v>
      </c>
      <c r="J142" s="52">
        <f t="shared" si="130"/>
        <v>7.626790217562121</v>
      </c>
      <c r="K142" s="52">
        <f t="shared" si="130"/>
        <v>7.626790217562121</v>
      </c>
      <c r="L142" s="52">
        <f t="shared" si="130"/>
        <v>7.626790217562121</v>
      </c>
      <c r="M142" s="52">
        <f t="shared" si="130"/>
        <v>7.626790217562121</v>
      </c>
      <c r="N142" s="52">
        <f t="shared" si="130"/>
        <v>7.626790217562121</v>
      </c>
      <c r="O142" s="52">
        <f t="shared" si="130"/>
        <v>7.626790217562121</v>
      </c>
      <c r="P142" s="52">
        <f t="shared" si="130"/>
        <v>7.626790217562121</v>
      </c>
      <c r="Q142" s="52">
        <f t="shared" si="130"/>
        <v>7.626790217562121</v>
      </c>
      <c r="R142" s="52">
        <f t="shared" si="130"/>
        <v>7.626790217562121</v>
      </c>
      <c r="S142" s="52">
        <f t="shared" si="130"/>
        <v>7.626790217562121</v>
      </c>
      <c r="T142" s="52">
        <f t="shared" si="130"/>
        <v>7.626790217562121</v>
      </c>
      <c r="U142" s="52">
        <f t="shared" si="130"/>
        <v>7.626790217562121</v>
      </c>
      <c r="V142" s="52">
        <f t="shared" si="130"/>
        <v>7.626790217562121</v>
      </c>
      <c r="W142" s="52">
        <f t="shared" si="130"/>
        <v>7.626790217562121</v>
      </c>
      <c r="X142" s="52">
        <f t="shared" si="130"/>
        <v>7.626790217562121</v>
      </c>
      <c r="Y142" s="52">
        <f aca="true" t="shared" si="131" ref="Y142:AJ142">($C74/$C5+$C75+$C76)/$C33*100</f>
        <v>8.047631030593214</v>
      </c>
      <c r="Z142" s="52">
        <f t="shared" si="131"/>
        <v>8.047631030593214</v>
      </c>
      <c r="AA142" s="52">
        <f t="shared" si="131"/>
        <v>8.047631030593214</v>
      </c>
      <c r="AB142" s="52">
        <f t="shared" si="131"/>
        <v>8.047631030593214</v>
      </c>
      <c r="AC142" s="52">
        <f t="shared" si="131"/>
        <v>8.047631030593214</v>
      </c>
      <c r="AD142" s="52">
        <f t="shared" si="131"/>
        <v>8.047631030593214</v>
      </c>
      <c r="AE142" s="52">
        <f t="shared" si="131"/>
        <v>8.047631030593214</v>
      </c>
      <c r="AF142" s="52">
        <f t="shared" si="131"/>
        <v>8.047631030593214</v>
      </c>
      <c r="AG142" s="52">
        <f t="shared" si="131"/>
        <v>8.047631030593214</v>
      </c>
      <c r="AH142" s="52">
        <f t="shared" si="131"/>
        <v>8.047631030593214</v>
      </c>
      <c r="AI142" s="52">
        <f t="shared" si="131"/>
        <v>8.047631030593214</v>
      </c>
      <c r="AJ142" s="52">
        <f t="shared" si="131"/>
        <v>8.047631030593214</v>
      </c>
      <c r="AK142" s="52">
        <f aca="true" t="shared" si="132" ref="AK142:AP142">($D74/$D5+$D75+$D76)/$D33*100</f>
        <v>7.907240589225657</v>
      </c>
      <c r="AL142" s="52">
        <f t="shared" si="132"/>
        <v>7.907240589225657</v>
      </c>
      <c r="AM142" s="52">
        <f t="shared" si="132"/>
        <v>7.907240589225657</v>
      </c>
      <c r="AN142" s="52">
        <f t="shared" si="132"/>
        <v>7.907240589225657</v>
      </c>
      <c r="AO142" s="52">
        <f t="shared" si="132"/>
        <v>7.907240589225657</v>
      </c>
      <c r="AP142" s="52">
        <f t="shared" si="132"/>
        <v>7.907240589225657</v>
      </c>
      <c r="AQ142" s="52">
        <f aca="true" t="shared" si="133" ref="AQ142:AV142">($D74/$D5+$D75+$D76)/$D33*100</f>
        <v>7.907240589225657</v>
      </c>
      <c r="AR142" s="52">
        <f t="shared" si="133"/>
        <v>7.907240589225657</v>
      </c>
      <c r="AS142" s="52">
        <f t="shared" si="133"/>
        <v>7.907240589225657</v>
      </c>
      <c r="AT142" s="52">
        <f t="shared" si="133"/>
        <v>7.907240589225657</v>
      </c>
      <c r="AU142" s="52">
        <f t="shared" si="133"/>
        <v>7.907240589225657</v>
      </c>
      <c r="AV142" s="52">
        <f t="shared" si="133"/>
        <v>7.907240589225657</v>
      </c>
      <c r="AW142" s="52">
        <f>($D74/$D5+$D75+$D76)/$D33*100</f>
        <v>7.907240589225657</v>
      </c>
      <c r="AX142" s="52">
        <f>($D74/$D5+$D75+$D76)/$D33*100</f>
        <v>7.907240589225657</v>
      </c>
      <c r="AY142" s="52">
        <f>($E74/$E5+$E75+$E76)/$E33*100</f>
        <v>8.452776066120636</v>
      </c>
      <c r="AZ142" s="52">
        <f>($E74/$E5+$E75+$E76)/$E33*100</f>
        <v>8.452776066120636</v>
      </c>
      <c r="BA142" s="52"/>
      <c r="BB142" s="52">
        <f aca="true" t="shared" si="134" ref="BB142:BI142">($D74/$D5+$D75+$D76)/$D33*100</f>
        <v>7.907240589225657</v>
      </c>
      <c r="BC142" s="52">
        <f t="shared" si="134"/>
        <v>7.907240589225657</v>
      </c>
      <c r="BD142" s="52">
        <f t="shared" si="134"/>
        <v>7.907240589225657</v>
      </c>
      <c r="BE142" s="52">
        <f t="shared" si="134"/>
        <v>7.907240589225657</v>
      </c>
      <c r="BF142" s="52">
        <f t="shared" si="134"/>
        <v>7.907240589225657</v>
      </c>
      <c r="BG142" s="52">
        <f t="shared" si="134"/>
        <v>7.907240589225657</v>
      </c>
      <c r="BH142" s="52">
        <f t="shared" si="134"/>
        <v>7.907240589225657</v>
      </c>
      <c r="BI142" s="52">
        <f t="shared" si="134"/>
        <v>7.907240589225657</v>
      </c>
    </row>
    <row r="143" spans="1:61" ht="15">
      <c r="A143" s="9" t="s">
        <v>126</v>
      </c>
      <c r="B143" s="54">
        <f>SUM(B78:B82)/B33*100</f>
        <v>2.9681826173957955</v>
      </c>
      <c r="C143" s="54">
        <f>SUM(C78:C82)/C33*100</f>
        <v>2.9012288032043596</v>
      </c>
      <c r="D143" s="54">
        <f>SUM(D78:D82)/D33*100</f>
        <v>2.860052943703569</v>
      </c>
      <c r="E143" s="54">
        <f>SUM(E78:E82)/E33*100</f>
        <v>2.8567655265268983</v>
      </c>
      <c r="F143" s="54"/>
      <c r="G143" s="54">
        <f aca="true" t="shared" si="135" ref="G143:X143">SUM($B78:$B82)/$B33*100</f>
        <v>2.9681826173957955</v>
      </c>
      <c r="H143" s="54">
        <f t="shared" si="135"/>
        <v>2.9681826173957955</v>
      </c>
      <c r="I143" s="54">
        <f t="shared" si="135"/>
        <v>2.9681826173957955</v>
      </c>
      <c r="J143" s="54">
        <f t="shared" si="135"/>
        <v>2.9681826173957955</v>
      </c>
      <c r="K143" s="54">
        <f t="shared" si="135"/>
        <v>2.9681826173957955</v>
      </c>
      <c r="L143" s="54">
        <f t="shared" si="135"/>
        <v>2.9681826173957955</v>
      </c>
      <c r="M143" s="54">
        <f t="shared" si="135"/>
        <v>2.9681826173957955</v>
      </c>
      <c r="N143" s="54">
        <f t="shared" si="135"/>
        <v>2.9681826173957955</v>
      </c>
      <c r="O143" s="54">
        <f t="shared" si="135"/>
        <v>2.9681826173957955</v>
      </c>
      <c r="P143" s="54">
        <f t="shared" si="135"/>
        <v>2.9681826173957955</v>
      </c>
      <c r="Q143" s="54">
        <f t="shared" si="135"/>
        <v>2.9681826173957955</v>
      </c>
      <c r="R143" s="54">
        <f t="shared" si="135"/>
        <v>2.9681826173957955</v>
      </c>
      <c r="S143" s="54">
        <f t="shared" si="135"/>
        <v>2.9681826173957955</v>
      </c>
      <c r="T143" s="54">
        <f t="shared" si="135"/>
        <v>2.9681826173957955</v>
      </c>
      <c r="U143" s="54">
        <f t="shared" si="135"/>
        <v>2.9681826173957955</v>
      </c>
      <c r="V143" s="54">
        <f t="shared" si="135"/>
        <v>2.9681826173957955</v>
      </c>
      <c r="W143" s="54">
        <f t="shared" si="135"/>
        <v>2.9681826173957955</v>
      </c>
      <c r="X143" s="54">
        <f t="shared" si="135"/>
        <v>2.9681826173957955</v>
      </c>
      <c r="Y143" s="54">
        <f aca="true" t="shared" si="136" ref="Y143:AJ143">SUM($C78:$C82)/$C33*100</f>
        <v>2.9012288032043596</v>
      </c>
      <c r="Z143" s="54">
        <f t="shared" si="136"/>
        <v>2.9012288032043596</v>
      </c>
      <c r="AA143" s="54">
        <f t="shared" si="136"/>
        <v>2.9012288032043596</v>
      </c>
      <c r="AB143" s="54">
        <f t="shared" si="136"/>
        <v>2.9012288032043596</v>
      </c>
      <c r="AC143" s="54">
        <f t="shared" si="136"/>
        <v>2.9012288032043596</v>
      </c>
      <c r="AD143" s="54">
        <f t="shared" si="136"/>
        <v>2.9012288032043596</v>
      </c>
      <c r="AE143" s="54">
        <f t="shared" si="136"/>
        <v>2.9012288032043596</v>
      </c>
      <c r="AF143" s="54">
        <f t="shared" si="136"/>
        <v>2.9012288032043596</v>
      </c>
      <c r="AG143" s="54">
        <f t="shared" si="136"/>
        <v>2.9012288032043596</v>
      </c>
      <c r="AH143" s="54">
        <f t="shared" si="136"/>
        <v>2.9012288032043596</v>
      </c>
      <c r="AI143" s="54">
        <f t="shared" si="136"/>
        <v>2.9012288032043596</v>
      </c>
      <c r="AJ143" s="54">
        <f t="shared" si="136"/>
        <v>2.9012288032043596</v>
      </c>
      <c r="AK143" s="54">
        <f aca="true" t="shared" si="137" ref="AK143:AP143">SUM($D78:$D82)/$D33*100</f>
        <v>2.860052943703569</v>
      </c>
      <c r="AL143" s="54">
        <f t="shared" si="137"/>
        <v>2.860052943703569</v>
      </c>
      <c r="AM143" s="54">
        <f t="shared" si="137"/>
        <v>2.860052943703569</v>
      </c>
      <c r="AN143" s="54">
        <f t="shared" si="137"/>
        <v>2.860052943703569</v>
      </c>
      <c r="AO143" s="54">
        <f t="shared" si="137"/>
        <v>2.860052943703569</v>
      </c>
      <c r="AP143" s="54">
        <f t="shared" si="137"/>
        <v>2.860052943703569</v>
      </c>
      <c r="AQ143" s="54">
        <f aca="true" t="shared" si="138" ref="AQ143:AV143">SUM($D78:$D82)/$D33*100</f>
        <v>2.860052943703569</v>
      </c>
      <c r="AR143" s="54">
        <f t="shared" si="138"/>
        <v>2.860052943703569</v>
      </c>
      <c r="AS143" s="54">
        <f t="shared" si="138"/>
        <v>2.860052943703569</v>
      </c>
      <c r="AT143" s="54">
        <f t="shared" si="138"/>
        <v>2.860052943703569</v>
      </c>
      <c r="AU143" s="54">
        <f t="shared" si="138"/>
        <v>2.860052943703569</v>
      </c>
      <c r="AV143" s="54">
        <f t="shared" si="138"/>
        <v>2.860052943703569</v>
      </c>
      <c r="AW143" s="54">
        <f>SUM($D78:$D82)/$D33*100</f>
        <v>2.860052943703569</v>
      </c>
      <c r="AX143" s="54">
        <f>SUM($D78:$D82)/$D33*100</f>
        <v>2.860052943703569</v>
      </c>
      <c r="AY143" s="54">
        <f>SUM($E78:$E82)/$E33*100</f>
        <v>2.8567655265268983</v>
      </c>
      <c r="AZ143" s="54">
        <f>SUM($E78:$E82)/$E33*100</f>
        <v>2.8567655265268983</v>
      </c>
      <c r="BA143" s="54"/>
      <c r="BB143" s="54">
        <f aca="true" t="shared" si="139" ref="BB143:BI143">SUM($D78:$D82)/$D33*100</f>
        <v>2.860052943703569</v>
      </c>
      <c r="BC143" s="54">
        <f t="shared" si="139"/>
        <v>2.860052943703569</v>
      </c>
      <c r="BD143" s="54">
        <f t="shared" si="139"/>
        <v>2.860052943703569</v>
      </c>
      <c r="BE143" s="54">
        <f t="shared" si="139"/>
        <v>2.860052943703569</v>
      </c>
      <c r="BF143" s="54">
        <f t="shared" si="139"/>
        <v>2.860052943703569</v>
      </c>
      <c r="BG143" s="54">
        <f t="shared" si="139"/>
        <v>2.860052943703569</v>
      </c>
      <c r="BH143" s="54">
        <f t="shared" si="139"/>
        <v>2.860052943703569</v>
      </c>
      <c r="BI143" s="54">
        <f t="shared" si="139"/>
        <v>2.860052943703569</v>
      </c>
    </row>
    <row r="144" spans="1:61" ht="15">
      <c r="A144" s="9" t="s">
        <v>127</v>
      </c>
      <c r="B144" s="52">
        <f>((B91+B95)/B5+B89+B90+B92+B96+B97+B86)/B33*100</f>
        <v>8.80134735391266</v>
      </c>
      <c r="C144" s="52">
        <f>((C91+C95)/C5+C89+C90+C92+C96+C97+C86)/C33*100</f>
        <v>8.721723437447574</v>
      </c>
      <c r="D144" s="52">
        <f>((D91+D95)/D5+D89+D90+D92+D96+D97+D86)/D33*100</f>
        <v>10.389297427143728</v>
      </c>
      <c r="E144" s="52">
        <f>((E91+E95)/E5+E89+E90+E92+E96+E97+E86)/E33*100</f>
        <v>10.739686801356855</v>
      </c>
      <c r="F144" s="52"/>
      <c r="G144" s="52">
        <f aca="true" t="shared" si="140" ref="G144:X144">(($B91+$B95)/$B5+$B89+$B90+$B92+$B96+$B97+G86)/$B33*100</f>
        <v>8.81974947550904</v>
      </c>
      <c r="H144" s="52">
        <f t="shared" si="140"/>
        <v>8.820342043394</v>
      </c>
      <c r="I144" s="52">
        <f t="shared" si="140"/>
        <v>8.828934277725889</v>
      </c>
      <c r="J144" s="52">
        <f t="shared" si="140"/>
        <v>8.83693394417282</v>
      </c>
      <c r="K144" s="52">
        <f t="shared" si="140"/>
        <v>8.852044425239246</v>
      </c>
      <c r="L144" s="52">
        <f t="shared" si="140"/>
        <v>8.871006597557898</v>
      </c>
      <c r="M144" s="52">
        <f t="shared" si="140"/>
        <v>8.875450856695084</v>
      </c>
      <c r="N144" s="52">
        <f t="shared" si="140"/>
        <v>8.856192400433953</v>
      </c>
      <c r="O144" s="52">
        <f t="shared" si="140"/>
        <v>8.850266721584372</v>
      </c>
      <c r="P144" s="52">
        <f t="shared" si="140"/>
        <v>8.826564006186057</v>
      </c>
      <c r="Q144" s="52">
        <f t="shared" si="140"/>
        <v>8.796639327995685</v>
      </c>
      <c r="R144" s="52">
        <f t="shared" si="140"/>
        <v>8.776195735964636</v>
      </c>
      <c r="S144" s="52">
        <f t="shared" si="140"/>
        <v>8.767603501632749</v>
      </c>
      <c r="T144" s="52">
        <f t="shared" si="140"/>
        <v>8.776195735964636</v>
      </c>
      <c r="U144" s="52">
        <f t="shared" si="140"/>
        <v>8.776788303849594</v>
      </c>
      <c r="V144" s="52">
        <f t="shared" si="140"/>
        <v>8.78952851337619</v>
      </c>
      <c r="W144" s="52">
        <f t="shared" si="140"/>
        <v>8.796935611938164</v>
      </c>
      <c r="X144" s="52">
        <f t="shared" si="140"/>
        <v>8.810564673292195</v>
      </c>
      <c r="Y144" s="52">
        <f aca="true" t="shared" si="141" ref="Y144:AJ144">(($C91+$C95)/$C5+$C89+$C90+$C92+$C96+$C97+Y86)/$C33*100</f>
        <v>8.685160548134062</v>
      </c>
      <c r="Z144" s="52">
        <f t="shared" si="141"/>
        <v>8.690388529809393</v>
      </c>
      <c r="AA144" s="52">
        <f t="shared" si="141"/>
        <v>8.698076738155468</v>
      </c>
      <c r="AB144" s="52">
        <f t="shared" si="141"/>
        <v>8.696846624820095</v>
      </c>
      <c r="AC144" s="52">
        <f t="shared" si="141"/>
        <v>8.706995059836915</v>
      </c>
      <c r="AD144" s="52">
        <f t="shared" si="141"/>
        <v>8.708225173172286</v>
      </c>
      <c r="AE144" s="52">
        <f t="shared" si="141"/>
        <v>8.678471806872976</v>
      </c>
      <c r="AF144" s="52">
        <f t="shared" si="141"/>
        <v>8.720218778192164</v>
      </c>
      <c r="AG144" s="52">
        <f t="shared" si="141"/>
        <v>8.720833834859851</v>
      </c>
      <c r="AH144" s="52">
        <f t="shared" si="141"/>
        <v>8.73221238321204</v>
      </c>
      <c r="AI144" s="52">
        <f t="shared" si="141"/>
        <v>8.750049026574935</v>
      </c>
      <c r="AJ144" s="52">
        <f t="shared" si="141"/>
        <v>8.751586668244151</v>
      </c>
      <c r="AK144" s="52">
        <f aca="true" t="shared" si="142" ref="AK144:AP144">(($D91+$D95)/$D5+$D89+$D90+$D92+$D96+$D97+AK86)/$D33*100</f>
        <v>10.415041384832259</v>
      </c>
      <c r="AL144" s="52">
        <f t="shared" si="142"/>
        <v>10.412157015506535</v>
      </c>
      <c r="AM144" s="52">
        <f t="shared" si="142"/>
        <v>10.407990704258268</v>
      </c>
      <c r="AN144" s="52">
        <f t="shared" si="142"/>
        <v>10.40446536397127</v>
      </c>
      <c r="AO144" s="52">
        <f t="shared" si="142"/>
        <v>10.412797986467808</v>
      </c>
      <c r="AP144" s="52">
        <f t="shared" si="142"/>
        <v>10.420169152522437</v>
      </c>
      <c r="AQ144" s="52">
        <f aca="true" t="shared" si="143" ref="AQ144:AV144">(($D91+$D95)/$D5+$D89+$D90+$D92+$D96+$D97+AQ86)/$D33*100</f>
        <v>10.436513912034874</v>
      </c>
      <c r="AR144" s="52">
        <f t="shared" si="143"/>
        <v>10.411889944272671</v>
      </c>
      <c r="AS144" s="52">
        <f t="shared" si="143"/>
        <v>10.469203431059752</v>
      </c>
      <c r="AT144" s="52">
        <f t="shared" si="143"/>
        <v>10.476895082595018</v>
      </c>
      <c r="AU144" s="52">
        <f t="shared" si="143"/>
        <v>10.483304792207738</v>
      </c>
      <c r="AV144" s="52">
        <f t="shared" si="143"/>
        <v>10.479779451920741</v>
      </c>
      <c r="AW144" s="52">
        <f>(($D91+$D95)/$D5+$D89+$D90+$D92+$D96+$D97+AW86)/$D33*100</f>
        <v>10.479779451920741</v>
      </c>
      <c r="AX144" s="52">
        <f>(($D91+$D95)/$D5+$D89+$D90+$D92+$D96+$D97+AX86)/$D33*100</f>
        <v>10.479779451920741</v>
      </c>
      <c r="AY144" s="52">
        <f>(($E91+$E95)/$E5+$E89+$E90+$E92+$E96+$E97+AY86)/$E33*100</f>
        <v>10.797594013537207</v>
      </c>
      <c r="AZ144" s="52">
        <f>(($E91+$E95)/$E5+$E89+$E90+$E92+$E96+$E97+AZ86)/$E33*100</f>
        <v>10.803923746699166</v>
      </c>
      <c r="BA144" s="52"/>
      <c r="BB144" s="52" t="e">
        <f aca="true" t="shared" si="144" ref="BB144:BI144">(($D91+$D95)/$D5+$D89+$D90+$D92+$D96+$D97+BB86)/$D33*100</f>
        <v>#REF!</v>
      </c>
      <c r="BC144" s="52" t="e">
        <f t="shared" si="144"/>
        <v>#REF!</v>
      </c>
      <c r="BD144" s="52">
        <f t="shared" si="144"/>
        <v>10.483304792207738</v>
      </c>
      <c r="BE144" s="52">
        <f t="shared" si="144"/>
        <v>10.483304792207738</v>
      </c>
      <c r="BF144" s="52">
        <f t="shared" si="144"/>
        <v>10.483304792207738</v>
      </c>
      <c r="BG144" s="52">
        <f t="shared" si="144"/>
        <v>10.483304792207738</v>
      </c>
      <c r="BH144" s="52">
        <f t="shared" si="144"/>
        <v>10.483304792207738</v>
      </c>
      <c r="BI144" s="52">
        <f t="shared" si="144"/>
        <v>10.483304792207738</v>
      </c>
    </row>
    <row r="145" spans="1:61" ht="15">
      <c r="A145" s="21" t="s">
        <v>128</v>
      </c>
      <c r="B145" s="51">
        <f>SUM(B146:B148)</f>
        <v>35.50348395895263</v>
      </c>
      <c r="C145" s="51">
        <f>SUM(C146:C148)</f>
        <v>34.63858864079137</v>
      </c>
      <c r="D145" s="51">
        <f>SUM(D146:D148)</f>
        <v>33.74634540895564</v>
      </c>
      <c r="E145" s="51">
        <f>SUM(E146:E148)</f>
        <v>35.21451050560899</v>
      </c>
      <c r="F145" s="51"/>
      <c r="G145" s="51">
        <f aca="true" t="shared" si="145" ref="G145:AK145">SUM(G146:G148)</f>
        <v>35.7436761330198</v>
      </c>
      <c r="H145" s="51">
        <f t="shared" si="145"/>
        <v>35.32354017240453</v>
      </c>
      <c r="I145" s="51">
        <f t="shared" si="145"/>
        <v>35.412516556264016</v>
      </c>
      <c r="J145" s="51">
        <f t="shared" si="145"/>
        <v>35.630530280616604</v>
      </c>
      <c r="K145" s="51">
        <f t="shared" si="145"/>
        <v>35.99030608300717</v>
      </c>
      <c r="L145" s="51">
        <f t="shared" si="145"/>
        <v>36.371107954053606</v>
      </c>
      <c r="M145" s="51">
        <f t="shared" si="145"/>
        <v>36.32559790962466</v>
      </c>
      <c r="N145" s="51" t="e">
        <f t="shared" si="145"/>
        <v>#REF!</v>
      </c>
      <c r="O145" s="51" t="e">
        <f t="shared" si="145"/>
        <v>#REF!</v>
      </c>
      <c r="P145" s="51" t="e">
        <f t="shared" si="145"/>
        <v>#REF!</v>
      </c>
      <c r="Q145" s="51" t="e">
        <f t="shared" si="145"/>
        <v>#REF!</v>
      </c>
      <c r="R145" s="51">
        <f t="shared" si="145"/>
        <v>33.96541502363946</v>
      </c>
      <c r="S145" s="51">
        <f t="shared" si="145"/>
        <v>33.33301948219782</v>
      </c>
      <c r="T145" s="51" t="e">
        <f t="shared" si="145"/>
        <v>#REF!</v>
      </c>
      <c r="U145" s="51">
        <f t="shared" si="145"/>
        <v>32.96123589872141</v>
      </c>
      <c r="V145" s="51">
        <f t="shared" si="145"/>
        <v>32.85341033187412</v>
      </c>
      <c r="W145" s="51" t="e">
        <f t="shared" si="145"/>
        <v>#REF!</v>
      </c>
      <c r="X145" s="51">
        <f t="shared" si="145"/>
        <v>33.73926171939916</v>
      </c>
      <c r="Y145" s="51">
        <f t="shared" si="145"/>
        <v>32.48107751963145</v>
      </c>
      <c r="Z145" s="51">
        <f t="shared" si="145"/>
        <v>32.55323308789655</v>
      </c>
      <c r="AA145" s="51">
        <f t="shared" si="145"/>
        <v>32.50032303892685</v>
      </c>
      <c r="AB145" s="51">
        <f t="shared" si="145"/>
        <v>32.446981383562864</v>
      </c>
      <c r="AC145" s="51">
        <f t="shared" si="145"/>
        <v>32.477552830687245</v>
      </c>
      <c r="AD145" s="51">
        <f t="shared" si="145"/>
        <v>32.42593914152548</v>
      </c>
      <c r="AE145" s="51">
        <f t="shared" si="145"/>
        <v>32.095931538059425</v>
      </c>
      <c r="AF145" s="51">
        <f t="shared" si="145"/>
        <v>32.30653543083987</v>
      </c>
      <c r="AG145" s="51">
        <f t="shared" si="145"/>
        <v>32.24438749261851</v>
      </c>
      <c r="AH145" s="51">
        <f t="shared" si="145"/>
        <v>32.24625956505349</v>
      </c>
      <c r="AI145" s="51">
        <f t="shared" si="145"/>
        <v>32.249321656223145</v>
      </c>
      <c r="AJ145" s="51">
        <f t="shared" si="145"/>
        <v>32.102153171333896</v>
      </c>
      <c r="AK145" s="51">
        <f t="shared" si="145"/>
        <v>31.744747451457318</v>
      </c>
      <c r="AL145" s="51">
        <f aca="true" t="shared" si="146" ref="AL145:AQ145">SUM(AL146:AL148)</f>
        <v>31.616699938154838</v>
      </c>
      <c r="AM145" s="51">
        <f t="shared" si="146"/>
        <v>31.42814574085835</v>
      </c>
      <c r="AN145" s="51">
        <f t="shared" si="146"/>
        <v>31.391263287739495</v>
      </c>
      <c r="AO145" s="51">
        <f t="shared" si="146"/>
        <v>31.214276480486546</v>
      </c>
      <c r="AP145" s="51">
        <f t="shared" si="146"/>
        <v>31.11346201102122</v>
      </c>
      <c r="AQ145" s="51">
        <f t="shared" si="146"/>
        <v>31.226723024642936</v>
      </c>
      <c r="AR145" s="51">
        <f aca="true" t="shared" si="147" ref="AR145:AW145">SUM(AR146:AR148)</f>
        <v>31.720728721715023</v>
      </c>
      <c r="AS145" s="51">
        <f t="shared" si="147"/>
        <v>31.6434847719546</v>
      </c>
      <c r="AT145" s="51">
        <f t="shared" si="147"/>
        <v>31.61581800350707</v>
      </c>
      <c r="AU145" s="51">
        <f t="shared" si="147"/>
        <v>31.616626245124742</v>
      </c>
      <c r="AV145" s="51">
        <f t="shared" si="147"/>
        <v>31.57015045040508</v>
      </c>
      <c r="AW145" s="51">
        <f t="shared" si="147"/>
        <v>31.571021934689412</v>
      </c>
      <c r="AX145" s="51">
        <f>SUM(AX146:AX148)</f>
        <v>31.581370375850007</v>
      </c>
      <c r="AY145" s="51">
        <f>SUM(AY146:AY148)</f>
        <v>32.3415076095773</v>
      </c>
      <c r="AZ145" s="51">
        <f>SUM(AZ146:AZ148)</f>
        <v>32.33986973364024</v>
      </c>
      <c r="BA145" s="51"/>
      <c r="BB145" s="51" t="e">
        <f aca="true" t="shared" si="148" ref="BB145:BI145">SUM(BB146:BB148)</f>
        <v>#REF!</v>
      </c>
      <c r="BC145" s="51" t="e">
        <f t="shared" si="148"/>
        <v>#REF!</v>
      </c>
      <c r="BD145" s="51">
        <f t="shared" si="148"/>
        <v>31.54377875257882</v>
      </c>
      <c r="BE145" s="51">
        <f t="shared" si="148"/>
        <v>31.547041394710522</v>
      </c>
      <c r="BF145" s="51">
        <f t="shared" si="148"/>
        <v>31.55122138001764</v>
      </c>
      <c r="BG145" s="51">
        <f t="shared" si="148"/>
        <v>31.55534246638174</v>
      </c>
      <c r="BH145" s="51">
        <f t="shared" si="148"/>
        <v>31.557438951662522</v>
      </c>
      <c r="BI145" s="51">
        <f t="shared" si="148"/>
        <v>31.530625456643463</v>
      </c>
    </row>
    <row r="146" spans="1:61" ht="15">
      <c r="A146" s="9" t="s">
        <v>30</v>
      </c>
      <c r="B146" s="52">
        <f>(B48/B5+B49)*B55/B33*100</f>
        <v>13.61947341089103</v>
      </c>
      <c r="C146" s="52">
        <f>(C48/C5+C49)*C55/C33*100</f>
        <v>13.02209549300846</v>
      </c>
      <c r="D146" s="52">
        <f>(D48/D5+D49)*D55/D33*100</f>
        <v>13.343854457778512</v>
      </c>
      <c r="E146" s="52">
        <f>(E48/E5+E49)*E55/E33*100</f>
        <v>12.970079718104488</v>
      </c>
      <c r="F146" s="52"/>
      <c r="G146" s="52">
        <f aca="true" t="shared" si="149" ref="G146:X146">($B48/$B5+$B49)*$B55/$B33*100</f>
        <v>13.61947341089103</v>
      </c>
      <c r="H146" s="52">
        <f t="shared" si="149"/>
        <v>13.61947341089103</v>
      </c>
      <c r="I146" s="52">
        <f t="shared" si="149"/>
        <v>13.61947341089103</v>
      </c>
      <c r="J146" s="52">
        <f t="shared" si="149"/>
        <v>13.61947341089103</v>
      </c>
      <c r="K146" s="52">
        <f t="shared" si="149"/>
        <v>13.61947341089103</v>
      </c>
      <c r="L146" s="52">
        <f t="shared" si="149"/>
        <v>13.61947341089103</v>
      </c>
      <c r="M146" s="52">
        <f t="shared" si="149"/>
        <v>13.61947341089103</v>
      </c>
      <c r="N146" s="52">
        <f t="shared" si="149"/>
        <v>13.61947341089103</v>
      </c>
      <c r="O146" s="52">
        <f t="shared" si="149"/>
        <v>13.61947341089103</v>
      </c>
      <c r="P146" s="52">
        <f t="shared" si="149"/>
        <v>13.61947341089103</v>
      </c>
      <c r="Q146" s="52">
        <f t="shared" si="149"/>
        <v>13.61947341089103</v>
      </c>
      <c r="R146" s="52">
        <f t="shared" si="149"/>
        <v>13.61947341089103</v>
      </c>
      <c r="S146" s="52">
        <f t="shared" si="149"/>
        <v>13.61947341089103</v>
      </c>
      <c r="T146" s="52">
        <f t="shared" si="149"/>
        <v>13.61947341089103</v>
      </c>
      <c r="U146" s="52">
        <f t="shared" si="149"/>
        <v>13.61947341089103</v>
      </c>
      <c r="V146" s="52">
        <f t="shared" si="149"/>
        <v>13.61947341089103</v>
      </c>
      <c r="W146" s="52">
        <f t="shared" si="149"/>
        <v>13.61947341089103</v>
      </c>
      <c r="X146" s="52">
        <f t="shared" si="149"/>
        <v>13.61947341089103</v>
      </c>
      <c r="Y146" s="52">
        <f aca="true" t="shared" si="150" ref="Y146:AJ146">($C48/$C5+$C49)*$C55/$C33*100</f>
        <v>13.02209549300846</v>
      </c>
      <c r="Z146" s="52">
        <f t="shared" si="150"/>
        <v>13.02209549300846</v>
      </c>
      <c r="AA146" s="52">
        <f t="shared" si="150"/>
        <v>13.02209549300846</v>
      </c>
      <c r="AB146" s="52">
        <f t="shared" si="150"/>
        <v>13.02209549300846</v>
      </c>
      <c r="AC146" s="52">
        <f t="shared" si="150"/>
        <v>13.02209549300846</v>
      </c>
      <c r="AD146" s="52">
        <f t="shared" si="150"/>
        <v>13.02209549300846</v>
      </c>
      <c r="AE146" s="52">
        <f t="shared" si="150"/>
        <v>13.02209549300846</v>
      </c>
      <c r="AF146" s="52">
        <f t="shared" si="150"/>
        <v>13.02209549300846</v>
      </c>
      <c r="AG146" s="52">
        <f t="shared" si="150"/>
        <v>13.02209549300846</v>
      </c>
      <c r="AH146" s="52">
        <f t="shared" si="150"/>
        <v>13.02209549300846</v>
      </c>
      <c r="AI146" s="52">
        <f t="shared" si="150"/>
        <v>13.02209549300846</v>
      </c>
      <c r="AJ146" s="52">
        <f t="shared" si="150"/>
        <v>13.02209549300846</v>
      </c>
      <c r="AK146" s="52">
        <f aca="true" t="shared" si="151" ref="AK146:AP146">($D48/$D5+$D49)*$D55/$D33*100</f>
        <v>13.343854457778512</v>
      </c>
      <c r="AL146" s="52">
        <f t="shared" si="151"/>
        <v>13.343854457778512</v>
      </c>
      <c r="AM146" s="52">
        <f t="shared" si="151"/>
        <v>13.343854457778512</v>
      </c>
      <c r="AN146" s="52">
        <f t="shared" si="151"/>
        <v>13.343854457778512</v>
      </c>
      <c r="AO146" s="52">
        <f t="shared" si="151"/>
        <v>13.343854457778512</v>
      </c>
      <c r="AP146" s="52">
        <f t="shared" si="151"/>
        <v>13.343854457778512</v>
      </c>
      <c r="AQ146" s="52">
        <f aca="true" t="shared" si="152" ref="AQ146:AV146">($D48/$D5+$D49)*$D55/$D33*100</f>
        <v>13.343854457778512</v>
      </c>
      <c r="AR146" s="52">
        <f t="shared" si="152"/>
        <v>13.343854457778512</v>
      </c>
      <c r="AS146" s="52">
        <f t="shared" si="152"/>
        <v>13.343854457778512</v>
      </c>
      <c r="AT146" s="52">
        <f t="shared" si="152"/>
        <v>13.343854457778512</v>
      </c>
      <c r="AU146" s="52">
        <f t="shared" si="152"/>
        <v>13.343854457778512</v>
      </c>
      <c r="AV146" s="52">
        <f t="shared" si="152"/>
        <v>13.343854457778512</v>
      </c>
      <c r="AW146" s="52">
        <f>($D48/$D5+$D49)*$D55/$D33*100</f>
        <v>13.343854457778512</v>
      </c>
      <c r="AX146" s="52">
        <f>($D48/$D5+$D49)*$D55/$D33*100</f>
        <v>13.343854457778512</v>
      </c>
      <c r="AY146" s="52">
        <f>($E48/$E5+$E49)*$E55/$E33*100</f>
        <v>12.970079718104488</v>
      </c>
      <c r="AZ146" s="52">
        <f>($E48/$E5+$E49)*$E55/$E33*100</f>
        <v>12.970079718104488</v>
      </c>
      <c r="BA146" s="52"/>
      <c r="BB146" s="52">
        <f aca="true" t="shared" si="153" ref="BB146:BI146">($D48/$D5+$D49)*$D55/$D33*100</f>
        <v>13.343854457778512</v>
      </c>
      <c r="BC146" s="52">
        <f t="shared" si="153"/>
        <v>13.343854457778512</v>
      </c>
      <c r="BD146" s="52">
        <f t="shared" si="153"/>
        <v>13.343854457778512</v>
      </c>
      <c r="BE146" s="52">
        <f t="shared" si="153"/>
        <v>13.343854457778512</v>
      </c>
      <c r="BF146" s="52">
        <f t="shared" si="153"/>
        <v>13.343854457778512</v>
      </c>
      <c r="BG146" s="52">
        <f t="shared" si="153"/>
        <v>13.343854457778512</v>
      </c>
      <c r="BH146" s="52">
        <f t="shared" si="153"/>
        <v>13.343854457778512</v>
      </c>
      <c r="BI146" s="52">
        <f t="shared" si="153"/>
        <v>13.343854457778512</v>
      </c>
    </row>
    <row r="147" spans="1:61" ht="15">
      <c r="A147" s="9" t="s">
        <v>129</v>
      </c>
      <c r="B147" s="52">
        <f>B132/B33*100</f>
        <v>19.959916891231888</v>
      </c>
      <c r="C147" s="52">
        <f>C132/C33*100</f>
        <v>19.732706482223513</v>
      </c>
      <c r="D147" s="52">
        <f>D132/D33*100</f>
        <v>18.661276950267254</v>
      </c>
      <c r="E147" s="52">
        <f>E132/E33*100</f>
        <v>20.28566190236373</v>
      </c>
      <c r="F147" s="52"/>
      <c r="G147" s="52">
        <f aca="true" t="shared" si="154" ref="G147:X147">G132/$B33*100</f>
        <v>19.84388164927002</v>
      </c>
      <c r="H147" s="52">
        <f t="shared" si="154"/>
        <v>19.56167250214025</v>
      </c>
      <c r="I147" s="52">
        <f t="shared" si="154"/>
        <v>19.587243466968538</v>
      </c>
      <c r="J147" s="52">
        <f t="shared" si="154"/>
        <v>19.779564260212243</v>
      </c>
      <c r="K147" s="52">
        <f t="shared" si="154"/>
        <v>20.11515620408212</v>
      </c>
      <c r="L147" s="52">
        <f t="shared" si="154"/>
        <v>20.49277772875504</v>
      </c>
      <c r="M147" s="52">
        <f t="shared" si="154"/>
        <v>20.453553082411034</v>
      </c>
      <c r="N147" s="52">
        <f t="shared" si="154"/>
        <v>20.089241395968383</v>
      </c>
      <c r="O147" s="52">
        <f t="shared" si="154"/>
        <v>19.766713381533215</v>
      </c>
      <c r="P147" s="52">
        <f t="shared" si="154"/>
        <v>19.818142102631846</v>
      </c>
      <c r="Q147" s="52">
        <f t="shared" si="154"/>
        <v>19.294203607181487</v>
      </c>
      <c r="R147" s="52">
        <f t="shared" si="154"/>
        <v>19.053833323398113</v>
      </c>
      <c r="S147" s="52">
        <f t="shared" si="154"/>
        <v>18.627594680426256</v>
      </c>
      <c r="T147" s="52">
        <f t="shared" si="154"/>
        <v>18.665001307585367</v>
      </c>
      <c r="U147" s="52">
        <f t="shared" si="154"/>
        <v>18.64005917652363</v>
      </c>
      <c r="V147" s="52">
        <f t="shared" si="154"/>
        <v>18.540466016068123</v>
      </c>
      <c r="W147" s="52">
        <f t="shared" si="154"/>
        <v>18.615134566509706</v>
      </c>
      <c r="X147" s="52">
        <f t="shared" si="154"/>
        <v>19.383151160992167</v>
      </c>
      <c r="Y147" s="52">
        <f aca="true" t="shared" si="155" ref="Y147:AJ147">Y132/$C33*100</f>
        <v>18.729099306623624</v>
      </c>
      <c r="Z147" s="52">
        <f t="shared" si="155"/>
        <v>18.778080771714446</v>
      </c>
      <c r="AA147" s="52">
        <f t="shared" si="155"/>
        <v>18.74133859309138</v>
      </c>
      <c r="AB147" s="52">
        <f t="shared" si="155"/>
        <v>18.716864076567624</v>
      </c>
      <c r="AC147" s="52">
        <f t="shared" si="155"/>
        <v>18.765829327562912</v>
      </c>
      <c r="AD147" s="52">
        <f t="shared" si="155"/>
        <v>18.716864076567624</v>
      </c>
      <c r="AE147" s="52">
        <f t="shared" si="155"/>
        <v>18.341612178741133</v>
      </c>
      <c r="AF147" s="52">
        <f t="shared" si="155"/>
        <v>18.582544818495645</v>
      </c>
      <c r="AG147" s="52">
        <f t="shared" si="155"/>
        <v>18.509487656380784</v>
      </c>
      <c r="AH147" s="52">
        <f t="shared" si="155"/>
        <v>18.509487656380784</v>
      </c>
      <c r="AI147" s="52">
        <f t="shared" si="155"/>
        <v>18.509487656380784</v>
      </c>
      <c r="AJ147" s="52">
        <f t="shared" si="155"/>
        <v>18.363815556546502</v>
      </c>
      <c r="AK147" s="52">
        <f aca="true" t="shared" si="156" ref="AK147:AP147">AK132/$D33*100</f>
        <v>17.711891940343</v>
      </c>
      <c r="AL147" s="52">
        <f t="shared" si="156"/>
        <v>17.583478814816893</v>
      </c>
      <c r="AM147" s="52">
        <f t="shared" si="156"/>
        <v>17.385975248176145</v>
      </c>
      <c r="AN147" s="52">
        <f t="shared" si="156"/>
        <v>17.351242373084037</v>
      </c>
      <c r="AO147" s="52">
        <f t="shared" si="156"/>
        <v>17.143609786171726</v>
      </c>
      <c r="AP147" s="52">
        <f t="shared" si="156"/>
        <v>16.994472202298454</v>
      </c>
      <c r="AQ147" s="52">
        <f aca="true" t="shared" si="157" ref="AQ147:AV147">AQ132/$D33*100</f>
        <v>17.028827332152307</v>
      </c>
      <c r="AR147" s="52">
        <f t="shared" si="157"/>
        <v>17.545631111495194</v>
      </c>
      <c r="AS147" s="52">
        <f t="shared" si="157"/>
        <v>17.420744407351485</v>
      </c>
      <c r="AT147" s="52">
        <f t="shared" si="157"/>
        <v>17.420744407351485</v>
      </c>
      <c r="AU147" s="52">
        <f t="shared" si="157"/>
        <v>17.420744407351485</v>
      </c>
      <c r="AV147" s="52">
        <f t="shared" si="157"/>
        <v>17.420744407351485</v>
      </c>
      <c r="AW147" s="52">
        <f>AW132/$D33*100</f>
        <v>17.420744407351485</v>
      </c>
      <c r="AX147" s="52">
        <f>AX132/$D33*100</f>
        <v>17.420744407351485</v>
      </c>
      <c r="AY147" s="52">
        <f>AY132/$E33*100</f>
        <v>18.522953025733255</v>
      </c>
      <c r="AZ147" s="52">
        <f>AZ132/$E33*100</f>
        <v>18.522953025733255</v>
      </c>
      <c r="BA147" s="52"/>
      <c r="BB147" s="52" t="e">
        <f aca="true" t="shared" si="158" ref="BB147:BI147">BB132/$D33*100</f>
        <v>#REF!</v>
      </c>
      <c r="BC147" s="52" t="e">
        <f t="shared" si="158"/>
        <v>#REF!</v>
      </c>
      <c r="BD147" s="52">
        <f t="shared" si="158"/>
        <v>17.420744407351485</v>
      </c>
      <c r="BE147" s="52">
        <f t="shared" si="158"/>
        <v>17.420744407351485</v>
      </c>
      <c r="BF147" s="52">
        <f t="shared" si="158"/>
        <v>17.420744407351485</v>
      </c>
      <c r="BG147" s="52">
        <f t="shared" si="158"/>
        <v>17.420744407351485</v>
      </c>
      <c r="BH147" s="52">
        <f t="shared" si="158"/>
        <v>17.420744407351485</v>
      </c>
      <c r="BI147" s="52">
        <f t="shared" si="158"/>
        <v>17.420744407351485</v>
      </c>
    </row>
    <row r="148" spans="1:61" ht="15">
      <c r="A148" s="9" t="s">
        <v>130</v>
      </c>
      <c r="B148" s="54">
        <f>(B137+B146)*B66*(B14+B19+B25)/365/2</f>
        <v>1.9240936568297087</v>
      </c>
      <c r="C148" s="54">
        <f>(C137+C146)*C66*(C14+C19+C25)/365/2</f>
        <v>1.883786665559401</v>
      </c>
      <c r="D148" s="54">
        <f>(D137+D146)*D66*(D14+D19+D25)/365/2</f>
        <v>1.7412140009098687</v>
      </c>
      <c r="E148" s="54">
        <f>(E137+E146)*E66*(E14+E19+E25)/365/2</f>
        <v>1.9587688851407725</v>
      </c>
      <c r="F148" s="54"/>
      <c r="G148" s="54">
        <f aca="true" t="shared" si="159" ref="G148:X148">(G137+G146)*G66*($B14+$B19+$B25)/365/2</f>
        <v>2.280321072858749</v>
      </c>
      <c r="H148" s="54">
        <f t="shared" si="159"/>
        <v>2.142394259373247</v>
      </c>
      <c r="I148" s="54">
        <f t="shared" si="159"/>
        <v>2.2057996784044485</v>
      </c>
      <c r="J148" s="54">
        <f t="shared" si="159"/>
        <v>2.2314926095133307</v>
      </c>
      <c r="K148" s="54">
        <f t="shared" si="159"/>
        <v>2.255676468034018</v>
      </c>
      <c r="L148" s="54">
        <f t="shared" si="159"/>
        <v>2.2588568144075367</v>
      </c>
      <c r="M148" s="54">
        <f t="shared" si="159"/>
        <v>2.2525714163225987</v>
      </c>
      <c r="N148" s="54" t="e">
        <f t="shared" si="159"/>
        <v>#REF!</v>
      </c>
      <c r="O148" s="54" t="e">
        <f t="shared" si="159"/>
        <v>#REF!</v>
      </c>
      <c r="P148" s="54" t="e">
        <f t="shared" si="159"/>
        <v>#REF!</v>
      </c>
      <c r="Q148" s="54" t="e">
        <f t="shared" si="159"/>
        <v>#REF!</v>
      </c>
      <c r="R148" s="54">
        <f t="shared" si="159"/>
        <v>1.2921082893503169</v>
      </c>
      <c r="S148" s="54">
        <f t="shared" si="159"/>
        <v>1.0859513908805287</v>
      </c>
      <c r="T148" s="54" t="e">
        <f t="shared" si="159"/>
        <v>#REF!</v>
      </c>
      <c r="U148" s="54">
        <f t="shared" si="159"/>
        <v>0.701703311306753</v>
      </c>
      <c r="V148" s="54">
        <f t="shared" si="159"/>
        <v>0.6934709049149688</v>
      </c>
      <c r="W148" s="54" t="e">
        <f t="shared" si="159"/>
        <v>#REF!</v>
      </c>
      <c r="X148" s="54">
        <f t="shared" si="159"/>
        <v>0.7366371475159654</v>
      </c>
      <c r="Y148" s="54">
        <f aca="true" t="shared" si="160" ref="Y148:AJ148">(Y137+Y146)*Y66*($C14+$C19+$C25)/365/2</f>
        <v>0.729882719999364</v>
      </c>
      <c r="Z148" s="54">
        <f t="shared" si="160"/>
        <v>0.7530568231736435</v>
      </c>
      <c r="AA148" s="54">
        <f t="shared" si="160"/>
        <v>0.7368889528270054</v>
      </c>
      <c r="AB148" s="54">
        <f t="shared" si="160"/>
        <v>0.7080218139867843</v>
      </c>
      <c r="AC148" s="54">
        <f t="shared" si="160"/>
        <v>0.6896280101158772</v>
      </c>
      <c r="AD148" s="54">
        <f t="shared" si="160"/>
        <v>0.6869795719493976</v>
      </c>
      <c r="AE148" s="54">
        <f t="shared" si="160"/>
        <v>0.7322238663098307</v>
      </c>
      <c r="AF148" s="54">
        <f t="shared" si="160"/>
        <v>0.7018951193357637</v>
      </c>
      <c r="AG148" s="54">
        <f t="shared" si="160"/>
        <v>0.7128043432292637</v>
      </c>
      <c r="AH148" s="54">
        <f t="shared" si="160"/>
        <v>0.7146764156642482</v>
      </c>
      <c r="AI148" s="54">
        <f t="shared" si="160"/>
        <v>0.7177385068339053</v>
      </c>
      <c r="AJ148" s="54">
        <f t="shared" si="160"/>
        <v>0.7162421217789332</v>
      </c>
      <c r="AK148" s="54">
        <f aca="true" t="shared" si="161" ref="AK148:AP148">(AK137+AK146)*AK66*($D14+$D19+$D25)/365/2</f>
        <v>0.6890010533358035</v>
      </c>
      <c r="AL148" s="54">
        <f t="shared" si="161"/>
        <v>0.6893666655594317</v>
      </c>
      <c r="AM148" s="54">
        <f t="shared" si="161"/>
        <v>0.6983160349036939</v>
      </c>
      <c r="AN148" s="54">
        <f t="shared" si="161"/>
        <v>0.6961664568769461</v>
      </c>
      <c r="AO148" s="54">
        <f t="shared" si="161"/>
        <v>0.7268122365363088</v>
      </c>
      <c r="AP148" s="54">
        <f t="shared" si="161"/>
        <v>0.7751353509442523</v>
      </c>
      <c r="AQ148" s="54">
        <f aca="true" t="shared" si="162" ref="AQ148:AV148">(AQ137+AQ146)*AQ66*($D14+$D19+$D25)/365/2</f>
        <v>0.8540412347121185</v>
      </c>
      <c r="AR148" s="54">
        <f t="shared" si="162"/>
        <v>0.8312431524413184</v>
      </c>
      <c r="AS148" s="54">
        <f t="shared" si="162"/>
        <v>0.8788859068246033</v>
      </c>
      <c r="AT148" s="54">
        <f t="shared" si="162"/>
        <v>0.8512191383770724</v>
      </c>
      <c r="AU148" s="54">
        <f t="shared" si="162"/>
        <v>0.8520273799947429</v>
      </c>
      <c r="AV148" s="54">
        <f t="shared" si="162"/>
        <v>0.8055515852750847</v>
      </c>
      <c r="AW148" s="54">
        <f>(AW137+AW146)*AW66*($D14+$D19+$D25)/365/2</f>
        <v>0.8064230695594137</v>
      </c>
      <c r="AX148" s="54">
        <f>(AX137+AX146)*AX66*($D14+$D19+$D25)/365/2</f>
        <v>0.8167715107200101</v>
      </c>
      <c r="AY148" s="54">
        <f>(AY137+AY146)*AY66*($E14+$E19+$E25)/365/2</f>
        <v>0.8484748657395552</v>
      </c>
      <c r="AZ148" s="54">
        <f>(AZ137+AZ146)*AZ66*($E14+$E19+$E25)/365/2</f>
        <v>0.8468369898024946</v>
      </c>
      <c r="BA148" s="54"/>
      <c r="BB148" s="54" t="e">
        <f aca="true" t="shared" si="163" ref="BB148:BI148">(BB137+BB146)*BB66*($D14+$D19+$D25)/365/2</f>
        <v>#REF!</v>
      </c>
      <c r="BC148" s="54" t="e">
        <f t="shared" si="163"/>
        <v>#REF!</v>
      </c>
      <c r="BD148" s="54">
        <f t="shared" si="163"/>
        <v>0.7791798874488213</v>
      </c>
      <c r="BE148" s="54">
        <f t="shared" si="163"/>
        <v>0.7824425295805248</v>
      </c>
      <c r="BF148" s="54">
        <f t="shared" si="163"/>
        <v>0.7866225148876421</v>
      </c>
      <c r="BG148" s="54">
        <f t="shared" si="163"/>
        <v>0.790743601251746</v>
      </c>
      <c r="BH148" s="54">
        <f t="shared" si="163"/>
        <v>0.792840086532524</v>
      </c>
      <c r="BI148" s="54">
        <f t="shared" si="163"/>
        <v>0.7660265915134646</v>
      </c>
    </row>
    <row r="149" spans="1:61" ht="15">
      <c r="A149" s="21" t="s">
        <v>31</v>
      </c>
      <c r="B149" s="51">
        <f>B137+B145</f>
        <v>125.17166447067841</v>
      </c>
      <c r="C149" s="51">
        <f>C137+C145</f>
        <v>139.61472213510962</v>
      </c>
      <c r="D149" s="51">
        <f>D137+D145</f>
        <v>139.2211361425925</v>
      </c>
      <c r="E149" s="51">
        <f>E137+E145</f>
        <v>150.78665915241183</v>
      </c>
      <c r="F149" s="51"/>
      <c r="G149" s="51">
        <f aca="true" t="shared" si="164" ref="G149:AK149">G137+G145</f>
        <v>144.69778517421855</v>
      </c>
      <c r="H149" s="51">
        <f t="shared" si="164"/>
        <v>140.83472228028677</v>
      </c>
      <c r="I149" s="51">
        <f t="shared" si="164"/>
        <v>144.4494405296231</v>
      </c>
      <c r="J149" s="51">
        <f t="shared" si="164"/>
        <v>150.52775377841417</v>
      </c>
      <c r="K149" s="51">
        <f t="shared" si="164"/>
        <v>152.2803325873375</v>
      </c>
      <c r="L149" s="51">
        <f t="shared" si="164"/>
        <v>152.84429778557023</v>
      </c>
      <c r="M149" s="51">
        <f t="shared" si="164"/>
        <v>152.4367974763344</v>
      </c>
      <c r="N149" s="51" t="e">
        <f t="shared" si="164"/>
        <v>#REF!</v>
      </c>
      <c r="O149" s="51" t="e">
        <f t="shared" si="164"/>
        <v>#REF!</v>
      </c>
      <c r="P149" s="51" t="e">
        <f t="shared" si="164"/>
        <v>#REF!</v>
      </c>
      <c r="Q149" s="51" t="e">
        <f t="shared" si="164"/>
        <v>#REF!</v>
      </c>
      <c r="R149" s="51">
        <f t="shared" si="164"/>
        <v>147.496721309798</v>
      </c>
      <c r="S149" s="51">
        <f t="shared" si="164"/>
        <v>140.88943077107103</v>
      </c>
      <c r="T149" s="51" t="e">
        <f t="shared" si="164"/>
        <v>#REF!</v>
      </c>
      <c r="U149" s="51">
        <f t="shared" si="164"/>
        <v>129.65058106066908</v>
      </c>
      <c r="V149" s="51">
        <f t="shared" si="164"/>
        <v>131.06189065096933</v>
      </c>
      <c r="W149" s="51" t="e">
        <f t="shared" si="164"/>
        <v>#REF!</v>
      </c>
      <c r="X149" s="51">
        <f t="shared" si="164"/>
        <v>138.90865784054017</v>
      </c>
      <c r="Y149" s="51">
        <f t="shared" si="164"/>
        <v>141.39109990246624</v>
      </c>
      <c r="Z149" s="51">
        <f t="shared" si="164"/>
        <v>145.33465480995076</v>
      </c>
      <c r="AA149" s="51">
        <f t="shared" si="164"/>
        <v>142.58078662224153</v>
      </c>
      <c r="AB149" s="51">
        <f t="shared" si="164"/>
        <v>137.70498338591665</v>
      </c>
      <c r="AC149" s="51">
        <f t="shared" si="164"/>
        <v>134.6627386115876</v>
      </c>
      <c r="AD149" s="51">
        <f t="shared" si="164"/>
        <v>134.1686844236258</v>
      </c>
      <c r="AE149" s="51">
        <f t="shared" si="164"/>
        <v>134.65902832752096</v>
      </c>
      <c r="AF149" s="51">
        <f t="shared" si="164"/>
        <v>136.54102936277624</v>
      </c>
      <c r="AG149" s="51">
        <f t="shared" si="164"/>
        <v>138.30134513998215</v>
      </c>
      <c r="AH149" s="51">
        <f t="shared" si="164"/>
        <v>138.61596027450094</v>
      </c>
      <c r="AI149" s="51">
        <f t="shared" si="164"/>
        <v>139.13056655107826</v>
      </c>
      <c r="AJ149" s="51">
        <f t="shared" si="164"/>
        <v>138.73341626238545</v>
      </c>
      <c r="AK149" s="51">
        <f t="shared" si="164"/>
        <v>137.44722883631468</v>
      </c>
      <c r="AL149" s="51">
        <f aca="true" t="shared" si="165" ref="AL149:AQ149">AL137+AL145</f>
        <v>137.38235219242014</v>
      </c>
      <c r="AM149" s="51">
        <f t="shared" si="165"/>
        <v>138.74007956229795</v>
      </c>
      <c r="AN149" s="51">
        <f t="shared" si="165"/>
        <v>138.33179072822625</v>
      </c>
      <c r="AO149" s="51">
        <f t="shared" si="165"/>
        <v>143.44981437099335</v>
      </c>
      <c r="AP149" s="51">
        <f t="shared" si="165"/>
        <v>151.69831907733837</v>
      </c>
      <c r="AQ149" s="51">
        <f t="shared" si="165"/>
        <v>165.44502273014166</v>
      </c>
      <c r="AR149" s="51">
        <f aca="true" t="shared" si="166" ref="AR149:AW149">AR137+AR145</f>
        <v>161.99995149048382</v>
      </c>
      <c r="AS149" s="51">
        <f t="shared" si="166"/>
        <v>170.15447338682944</v>
      </c>
      <c r="AT149" s="51">
        <f t="shared" si="166"/>
        <v>165.34651289845345</v>
      </c>
      <c r="AU149" s="51">
        <f t="shared" si="166"/>
        <v>165.4869699876213</v>
      </c>
      <c r="AV149" s="51">
        <f t="shared" si="166"/>
        <v>157.41035688039267</v>
      </c>
      <c r="AW149" s="51">
        <f t="shared" si="166"/>
        <v>157.56180434753148</v>
      </c>
      <c r="AX149" s="51">
        <f>AX137+AX145</f>
        <v>159.36016747442827</v>
      </c>
      <c r="AY149" s="51">
        <f>AY137+AY145</f>
        <v>160.35396145010617</v>
      </c>
      <c r="AZ149" s="51">
        <f>AZ137+AZ145</f>
        <v>160.08017420524203</v>
      </c>
      <c r="BA149" s="51"/>
      <c r="BB149" s="51" t="e">
        <f aca="true" t="shared" si="167" ref="BB149:BI149">BB137+BB145</f>
        <v>#REF!</v>
      </c>
      <c r="BC149" s="51" t="e">
        <f t="shared" si="167"/>
        <v>#REF!</v>
      </c>
      <c r="BD149" s="51">
        <f t="shared" si="167"/>
        <v>152.82745514394574</v>
      </c>
      <c r="BE149" s="51">
        <f t="shared" si="167"/>
        <v>153.39444056859665</v>
      </c>
      <c r="BF149" s="51">
        <f t="shared" si="167"/>
        <v>154.12084286732284</v>
      </c>
      <c r="BG149" s="51">
        <f t="shared" si="167"/>
        <v>154.83700964499957</v>
      </c>
      <c r="BH149" s="51">
        <f t="shared" si="167"/>
        <v>155.2013390900361</v>
      </c>
      <c r="BI149" s="51">
        <f t="shared" si="167"/>
        <v>150.54166136687184</v>
      </c>
    </row>
    <row r="150" spans="1:61" ht="15">
      <c r="A150" s="22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</row>
    <row r="151" spans="1:61" ht="15">
      <c r="A151" s="18" t="s">
        <v>29</v>
      </c>
      <c r="B151" s="52">
        <f>B138</f>
        <v>61.07346576052606</v>
      </c>
      <c r="C151" s="52">
        <f>C138</f>
        <v>76.15225310540333</v>
      </c>
      <c r="D151" s="72">
        <f>D138</f>
        <v>75.24298457754155</v>
      </c>
      <c r="E151" s="72">
        <f>E138</f>
        <v>84.89004594007136</v>
      </c>
      <c r="F151" s="52"/>
      <c r="G151" s="52">
        <f aca="true" t="shared" si="168" ref="G151:AK151">G138</f>
        <v>80.42428118957277</v>
      </c>
      <c r="H151" s="52">
        <f t="shared" si="168"/>
        <v>76.57981221436637</v>
      </c>
      <c r="I151" s="52">
        <f t="shared" si="168"/>
        <v>80.06500210482977</v>
      </c>
      <c r="J151" s="52">
        <f t="shared" si="168"/>
        <v>85.81270644786352</v>
      </c>
      <c r="K151" s="52">
        <f t="shared" si="168"/>
        <v>87.16425009459041</v>
      </c>
      <c r="L151" s="52">
        <f t="shared" si="168"/>
        <v>87.31101866363177</v>
      </c>
      <c r="M151" s="52">
        <f t="shared" si="168"/>
        <v>86.92424612289034</v>
      </c>
      <c r="N151" s="52" t="e">
        <f t="shared" si="168"/>
        <v>#REF!</v>
      </c>
      <c r="O151" s="52" t="e">
        <f t="shared" si="168"/>
        <v>#REF!</v>
      </c>
      <c r="P151" s="52" t="e">
        <f t="shared" si="168"/>
        <v>#REF!</v>
      </c>
      <c r="Q151" s="52" t="e">
        <f t="shared" si="168"/>
        <v>#REF!</v>
      </c>
      <c r="R151" s="52">
        <f t="shared" si="168"/>
        <v>83.65914160088607</v>
      </c>
      <c r="S151" s="52">
        <f t="shared" si="168"/>
        <v>77.70155513084578</v>
      </c>
      <c r="T151" s="52" t="e">
        <f t="shared" si="168"/>
        <v>#REF!</v>
      </c>
      <c r="U151" s="52">
        <f t="shared" si="168"/>
        <v>66.98219747414007</v>
      </c>
      <c r="V151" s="52">
        <f t="shared" si="168"/>
        <v>68.61643138448721</v>
      </c>
      <c r="W151" s="52" t="e">
        <f t="shared" si="168"/>
        <v>#REF!</v>
      </c>
      <c r="X151" s="52">
        <f t="shared" si="168"/>
        <v>75.58245990535647</v>
      </c>
      <c r="Y151" s="52">
        <f t="shared" si="168"/>
        <v>79.90017303098128</v>
      </c>
      <c r="Z151" s="52">
        <f t="shared" si="168"/>
        <v>83.74378572134881</v>
      </c>
      <c r="AA151" s="52">
        <f t="shared" si="168"/>
        <v>81.04077904105733</v>
      </c>
      <c r="AB151" s="52">
        <f t="shared" si="168"/>
        <v>76.21390790663766</v>
      </c>
      <c r="AC151" s="52">
        <f t="shared" si="168"/>
        <v>73.12530358337328</v>
      </c>
      <c r="AD151" s="52">
        <f t="shared" si="168"/>
        <v>72.67599330444372</v>
      </c>
      <c r="AE151" s="52">
        <f t="shared" si="168"/>
        <v>73.47040646851211</v>
      </c>
      <c r="AF151" s="52">
        <f t="shared" si="168"/>
        <v>75.11345084830386</v>
      </c>
      <c r="AG151" s="52">
        <f t="shared" si="168"/>
        <v>77.03117384256385</v>
      </c>
      <c r="AH151" s="52">
        <f t="shared" si="168"/>
        <v>77.32125902270717</v>
      </c>
      <c r="AI151" s="52">
        <f t="shared" si="168"/>
        <v>77.88264256628163</v>
      </c>
      <c r="AJ151" s="52">
        <f t="shared" si="168"/>
        <v>77.63394295420592</v>
      </c>
      <c r="AK151" s="52">
        <f t="shared" si="168"/>
        <v>75.30640978805536</v>
      </c>
      <c r="AL151" s="52">
        <f aca="true" t="shared" si="169" ref="AL151:AQ151">AL138</f>
        <v>75.37535590991288</v>
      </c>
      <c r="AM151" s="52">
        <f t="shared" si="169"/>
        <v>76.92580378833546</v>
      </c>
      <c r="AN151" s="52">
        <f t="shared" si="169"/>
        <v>76.5579227476696</v>
      </c>
      <c r="AO151" s="52">
        <f t="shared" si="169"/>
        <v>81.83881880894539</v>
      </c>
      <c r="AP151" s="52">
        <f t="shared" si="169"/>
        <v>90.17498505245342</v>
      </c>
      <c r="AQ151" s="52">
        <f t="shared" si="169"/>
        <v>103.59839376282416</v>
      </c>
      <c r="AR151" s="52">
        <f aca="true" t="shared" si="170" ref="AR151:AW151">AR138</f>
        <v>99.84101211025262</v>
      </c>
      <c r="AS151" s="52">
        <f t="shared" si="170"/>
        <v>107.74564871134494</v>
      </c>
      <c r="AT151" s="52">
        <f t="shared" si="170"/>
        <v>102.94899069050969</v>
      </c>
      <c r="AU151" s="52">
        <f t="shared" si="170"/>
        <v>103.10246601031413</v>
      </c>
      <c r="AV151" s="52">
        <f t="shared" si="170"/>
        <v>95.07007227184445</v>
      </c>
      <c r="AW151" s="52">
        <f t="shared" si="170"/>
        <v>95.2206482546989</v>
      </c>
      <c r="AX151" s="52">
        <f>AX138</f>
        <v>97.0086629404351</v>
      </c>
      <c r="AY151" s="52">
        <f>AY138</f>
        <v>97.0312051289001</v>
      </c>
      <c r="AZ151" s="52">
        <f>AZ138</f>
        <v>96.68566868345678</v>
      </c>
      <c r="BA151" s="52"/>
      <c r="BB151" s="52" t="e">
        <f aca="true" t="shared" si="171" ref="BB151:BI151">BB138</f>
        <v>#REF!</v>
      </c>
      <c r="BC151" s="52" t="e">
        <f t="shared" si="171"/>
        <v>#REF!</v>
      </c>
      <c r="BD151" s="52">
        <f t="shared" si="171"/>
        <v>90.51579865918448</v>
      </c>
      <c r="BE151" s="52">
        <f t="shared" si="171"/>
        <v>91.07952144170369</v>
      </c>
      <c r="BF151" s="52">
        <f t="shared" si="171"/>
        <v>91.80174375512276</v>
      </c>
      <c r="BG151" s="52">
        <f t="shared" si="171"/>
        <v>92.5137894464354</v>
      </c>
      <c r="BH151" s="52">
        <f t="shared" si="171"/>
        <v>92.87602240619114</v>
      </c>
      <c r="BI151" s="52">
        <f t="shared" si="171"/>
        <v>88.24315817804595</v>
      </c>
    </row>
    <row r="152" spans="1:61" ht="15">
      <c r="A152" s="18" t="s">
        <v>32</v>
      </c>
      <c r="B152" s="52">
        <f>SUM(B139:B141)</f>
        <v>9.198394562329138</v>
      </c>
      <c r="C152" s="52">
        <f>SUM(C139:C141)</f>
        <v>9.153297117669752</v>
      </c>
      <c r="D152" s="72">
        <f>SUM(D139:D141)</f>
        <v>9.075215196022386</v>
      </c>
      <c r="E152" s="72">
        <f>SUM(E139:E141)</f>
        <v>8.632874312727093</v>
      </c>
      <c r="F152" s="52"/>
      <c r="G152" s="52">
        <f aca="true" t="shared" si="172" ref="G152:AK152">SUM(G139:G141)</f>
        <v>9.115105541159036</v>
      </c>
      <c r="H152" s="52">
        <f t="shared" si="172"/>
        <v>9.516055015163948</v>
      </c>
      <c r="I152" s="52">
        <f t="shared" si="172"/>
        <v>9.548014755845498</v>
      </c>
      <c r="J152" s="52">
        <f t="shared" si="172"/>
        <v>9.6526102708033</v>
      </c>
      <c r="K152" s="52">
        <f t="shared" si="172"/>
        <v>9.678759149542753</v>
      </c>
      <c r="L152" s="52">
        <f t="shared" si="172"/>
        <v>9.696191735369052</v>
      </c>
      <c r="M152" s="52">
        <f t="shared" si="172"/>
        <v>9.716529752166403</v>
      </c>
      <c r="N152" s="52">
        <f t="shared" si="172"/>
        <v>9.97220767761881</v>
      </c>
      <c r="O152" s="52">
        <f t="shared" si="172"/>
        <v>10.547483009886726</v>
      </c>
      <c r="P152" s="52">
        <f t="shared" si="172"/>
        <v>10.541672147944627</v>
      </c>
      <c r="Q152" s="52">
        <f t="shared" si="172"/>
        <v>10.521334131147277</v>
      </c>
      <c r="R152" s="52">
        <f t="shared" si="172"/>
        <v>10.500996114349926</v>
      </c>
      <c r="S152" s="52">
        <f t="shared" si="172"/>
        <v>10.492279821436775</v>
      </c>
      <c r="T152" s="52">
        <f t="shared" si="172"/>
        <v>10.480658097552576</v>
      </c>
      <c r="U152" s="52">
        <f t="shared" si="172"/>
        <v>10.33538654900007</v>
      </c>
      <c r="V152" s="52">
        <f t="shared" si="172"/>
        <v>10.207547586273868</v>
      </c>
      <c r="W152" s="52">
        <f t="shared" si="172"/>
        <v>10.161060690737067</v>
      </c>
      <c r="X152" s="52">
        <f t="shared" si="172"/>
        <v>10.181398707534417</v>
      </c>
      <c r="Y152" s="52">
        <f t="shared" si="172"/>
        <v>9.37582896992188</v>
      </c>
      <c r="Z152" s="52">
        <f t="shared" si="172"/>
        <v>9.398387637098441</v>
      </c>
      <c r="AA152" s="52">
        <f t="shared" si="172"/>
        <v>9.392747970304299</v>
      </c>
      <c r="AB152" s="52">
        <f t="shared" si="172"/>
        <v>9.398387637098441</v>
      </c>
      <c r="AC152" s="52">
        <f t="shared" si="172"/>
        <v>9.40402730389258</v>
      </c>
      <c r="AD152" s="52">
        <f t="shared" si="172"/>
        <v>9.409666970686722</v>
      </c>
      <c r="AE152" s="52">
        <f t="shared" si="172"/>
        <v>9.465358680278857</v>
      </c>
      <c r="AF152" s="52">
        <f t="shared" si="172"/>
        <v>9.451964471642775</v>
      </c>
      <c r="AG152" s="52">
        <f t="shared" si="172"/>
        <v>9.356090136142386</v>
      </c>
      <c r="AH152" s="52">
        <f t="shared" si="172"/>
        <v>9.367369469730667</v>
      </c>
      <c r="AI152" s="52">
        <f t="shared" si="172"/>
        <v>9.299693468200982</v>
      </c>
      <c r="AJ152" s="52">
        <f t="shared" si="172"/>
        <v>9.29687363480391</v>
      </c>
      <c r="AK152" s="52">
        <f t="shared" si="172"/>
        <v>9.213736679040524</v>
      </c>
      <c r="AL152" s="52">
        <f aca="true" t="shared" si="173" ref="AL152:AQ152">SUM(AL139:AL141)</f>
        <v>9.210845795916667</v>
      </c>
      <c r="AM152" s="52">
        <f t="shared" si="173"/>
        <v>9.210845795916667</v>
      </c>
      <c r="AN152" s="52">
        <f t="shared" si="173"/>
        <v>9.210845795916667</v>
      </c>
      <c r="AO152" s="52">
        <f t="shared" si="173"/>
        <v>9.21662756216438</v>
      </c>
      <c r="AP152" s="52">
        <f t="shared" si="173"/>
        <v>9.222409328412095</v>
      </c>
      <c r="AQ152" s="52">
        <f t="shared" si="173"/>
        <v>9.4160984977105</v>
      </c>
      <c r="AR152" s="52">
        <f aca="true" t="shared" si="174" ref="AR152:AW152">SUM(AR139:AR141)</f>
        <v>9.25902718131428</v>
      </c>
      <c r="AS152" s="52">
        <f t="shared" si="174"/>
        <v>9.528842939540915</v>
      </c>
      <c r="AT152" s="52">
        <f t="shared" si="174"/>
        <v>9.537515588912488</v>
      </c>
      <c r="AU152" s="52">
        <f t="shared" si="174"/>
        <v>9.51727940704549</v>
      </c>
      <c r="AV152" s="52">
        <f t="shared" si="174"/>
        <v>9.523061173293202</v>
      </c>
      <c r="AW152" s="52">
        <f t="shared" si="174"/>
        <v>9.523061173293202</v>
      </c>
      <c r="AX152" s="52">
        <f>SUM(AX139:AX141)</f>
        <v>9.523061173293202</v>
      </c>
      <c r="AY152" s="52">
        <f>SUM(AY139:AY141)</f>
        <v>8.874113105444028</v>
      </c>
      <c r="AZ152" s="52">
        <f>SUM(AZ139:AZ141)</f>
        <v>8.941170448798283</v>
      </c>
      <c r="BA152" s="52"/>
      <c r="BB152" s="52" t="e">
        <f aca="true" t="shared" si="175" ref="BB152:BI152">SUM(BB139:BB141)</f>
        <v>#REF!</v>
      </c>
      <c r="BC152" s="52" t="e">
        <f t="shared" si="175"/>
        <v>#REF!</v>
      </c>
      <c r="BD152" s="52">
        <f t="shared" si="175"/>
        <v>9.51727940704549</v>
      </c>
      <c r="BE152" s="52">
        <f t="shared" si="175"/>
        <v>9.51727940704549</v>
      </c>
      <c r="BF152" s="52">
        <f t="shared" si="175"/>
        <v>9.51727940704549</v>
      </c>
      <c r="BG152" s="52">
        <f t="shared" si="175"/>
        <v>9.51727940704549</v>
      </c>
      <c r="BH152" s="52">
        <f t="shared" si="175"/>
        <v>9.51727940704549</v>
      </c>
      <c r="BI152" s="52">
        <f t="shared" si="175"/>
        <v>9.51727940704549</v>
      </c>
    </row>
    <row r="153" spans="1:61" ht="15">
      <c r="A153" s="18" t="s">
        <v>30</v>
      </c>
      <c r="B153" s="52">
        <f>B146</f>
        <v>13.61947341089103</v>
      </c>
      <c r="C153" s="52">
        <f>C146</f>
        <v>13.02209549300846</v>
      </c>
      <c r="D153" s="72">
        <f>D146</f>
        <v>13.343854457778512</v>
      </c>
      <c r="E153" s="72">
        <f>E146</f>
        <v>12.970079718104488</v>
      </c>
      <c r="F153" s="52"/>
      <c r="G153" s="52">
        <f aca="true" t="shared" si="176" ref="G153:AK153">G146</f>
        <v>13.61947341089103</v>
      </c>
      <c r="H153" s="52">
        <f t="shared" si="176"/>
        <v>13.61947341089103</v>
      </c>
      <c r="I153" s="52">
        <f t="shared" si="176"/>
        <v>13.61947341089103</v>
      </c>
      <c r="J153" s="52">
        <f t="shared" si="176"/>
        <v>13.61947341089103</v>
      </c>
      <c r="K153" s="52">
        <f t="shared" si="176"/>
        <v>13.61947341089103</v>
      </c>
      <c r="L153" s="52">
        <f t="shared" si="176"/>
        <v>13.61947341089103</v>
      </c>
      <c r="M153" s="52">
        <f t="shared" si="176"/>
        <v>13.61947341089103</v>
      </c>
      <c r="N153" s="52">
        <f t="shared" si="176"/>
        <v>13.61947341089103</v>
      </c>
      <c r="O153" s="52">
        <f t="shared" si="176"/>
        <v>13.61947341089103</v>
      </c>
      <c r="P153" s="52">
        <f t="shared" si="176"/>
        <v>13.61947341089103</v>
      </c>
      <c r="Q153" s="52">
        <f t="shared" si="176"/>
        <v>13.61947341089103</v>
      </c>
      <c r="R153" s="52">
        <f t="shared" si="176"/>
        <v>13.61947341089103</v>
      </c>
      <c r="S153" s="52">
        <f t="shared" si="176"/>
        <v>13.61947341089103</v>
      </c>
      <c r="T153" s="52">
        <f t="shared" si="176"/>
        <v>13.61947341089103</v>
      </c>
      <c r="U153" s="52">
        <f t="shared" si="176"/>
        <v>13.61947341089103</v>
      </c>
      <c r="V153" s="52">
        <f t="shared" si="176"/>
        <v>13.61947341089103</v>
      </c>
      <c r="W153" s="52">
        <f t="shared" si="176"/>
        <v>13.61947341089103</v>
      </c>
      <c r="X153" s="52">
        <f t="shared" si="176"/>
        <v>13.61947341089103</v>
      </c>
      <c r="Y153" s="52">
        <f t="shared" si="176"/>
        <v>13.02209549300846</v>
      </c>
      <c r="Z153" s="52">
        <f t="shared" si="176"/>
        <v>13.02209549300846</v>
      </c>
      <c r="AA153" s="52">
        <f t="shared" si="176"/>
        <v>13.02209549300846</v>
      </c>
      <c r="AB153" s="52">
        <f t="shared" si="176"/>
        <v>13.02209549300846</v>
      </c>
      <c r="AC153" s="52">
        <f t="shared" si="176"/>
        <v>13.02209549300846</v>
      </c>
      <c r="AD153" s="52">
        <f t="shared" si="176"/>
        <v>13.02209549300846</v>
      </c>
      <c r="AE153" s="52">
        <f t="shared" si="176"/>
        <v>13.02209549300846</v>
      </c>
      <c r="AF153" s="52">
        <f t="shared" si="176"/>
        <v>13.02209549300846</v>
      </c>
      <c r="AG153" s="52">
        <f t="shared" si="176"/>
        <v>13.02209549300846</v>
      </c>
      <c r="AH153" s="52">
        <f t="shared" si="176"/>
        <v>13.02209549300846</v>
      </c>
      <c r="AI153" s="52">
        <f t="shared" si="176"/>
        <v>13.02209549300846</v>
      </c>
      <c r="AJ153" s="52">
        <f t="shared" si="176"/>
        <v>13.02209549300846</v>
      </c>
      <c r="AK153" s="52">
        <f t="shared" si="176"/>
        <v>13.343854457778512</v>
      </c>
      <c r="AL153" s="52">
        <f aca="true" t="shared" si="177" ref="AL153:AQ153">AL146</f>
        <v>13.343854457778512</v>
      </c>
      <c r="AM153" s="52">
        <f t="shared" si="177"/>
        <v>13.343854457778512</v>
      </c>
      <c r="AN153" s="52">
        <f t="shared" si="177"/>
        <v>13.343854457778512</v>
      </c>
      <c r="AO153" s="52">
        <f t="shared" si="177"/>
        <v>13.343854457778512</v>
      </c>
      <c r="AP153" s="52">
        <f t="shared" si="177"/>
        <v>13.343854457778512</v>
      </c>
      <c r="AQ153" s="52">
        <f t="shared" si="177"/>
        <v>13.343854457778512</v>
      </c>
      <c r="AR153" s="52">
        <f aca="true" t="shared" si="178" ref="AR153:AW153">AR146</f>
        <v>13.343854457778512</v>
      </c>
      <c r="AS153" s="52">
        <f t="shared" si="178"/>
        <v>13.343854457778512</v>
      </c>
      <c r="AT153" s="52">
        <f t="shared" si="178"/>
        <v>13.343854457778512</v>
      </c>
      <c r="AU153" s="52">
        <f t="shared" si="178"/>
        <v>13.343854457778512</v>
      </c>
      <c r="AV153" s="52">
        <f t="shared" si="178"/>
        <v>13.343854457778512</v>
      </c>
      <c r="AW153" s="52">
        <f t="shared" si="178"/>
        <v>13.343854457778512</v>
      </c>
      <c r="AX153" s="52">
        <f>AX146</f>
        <v>13.343854457778512</v>
      </c>
      <c r="AY153" s="52">
        <f>AY146</f>
        <v>12.970079718104488</v>
      </c>
      <c r="AZ153" s="52">
        <f>AZ146</f>
        <v>12.970079718104488</v>
      </c>
      <c r="BA153" s="52"/>
      <c r="BB153" s="52">
        <f aca="true" t="shared" si="179" ref="BB153:BI153">BB146</f>
        <v>13.343854457778512</v>
      </c>
      <c r="BC153" s="52">
        <f t="shared" si="179"/>
        <v>13.343854457778512</v>
      </c>
      <c r="BD153" s="52">
        <f t="shared" si="179"/>
        <v>13.343854457778512</v>
      </c>
      <c r="BE153" s="52">
        <f t="shared" si="179"/>
        <v>13.343854457778512</v>
      </c>
      <c r="BF153" s="52">
        <f t="shared" si="179"/>
        <v>13.343854457778512</v>
      </c>
      <c r="BG153" s="52">
        <f t="shared" si="179"/>
        <v>13.343854457778512</v>
      </c>
      <c r="BH153" s="52">
        <f t="shared" si="179"/>
        <v>13.343854457778512</v>
      </c>
      <c r="BI153" s="52">
        <f t="shared" si="179"/>
        <v>13.343854457778512</v>
      </c>
    </row>
    <row r="154" spans="1:61" ht="15">
      <c r="A154" s="18" t="s">
        <v>33</v>
      </c>
      <c r="B154" s="52">
        <f>SUM(B142:B144)+B147+B148</f>
        <v>41.28033073693217</v>
      </c>
      <c r="C154" s="52">
        <f>SUM(C142:C144)+C147+C148</f>
        <v>41.28707641902806</v>
      </c>
      <c r="D154" s="72">
        <f>SUM(D142:D144)+D147+D148</f>
        <v>41.55908191125008</v>
      </c>
      <c r="E154" s="72">
        <f>SUM(E142:E144)+E147+E148</f>
        <v>44.293659181508886</v>
      </c>
      <c r="F154" s="52"/>
      <c r="G154" s="52">
        <f aca="true" t="shared" si="180" ref="G154:AK154">SUM(G142:G144)+G147+G148</f>
        <v>41.53892503259572</v>
      </c>
      <c r="H154" s="52">
        <f t="shared" si="180"/>
        <v>41.11938163986541</v>
      </c>
      <c r="I154" s="52">
        <f t="shared" si="180"/>
        <v>41.21695025805679</v>
      </c>
      <c r="J154" s="52">
        <f t="shared" si="180"/>
        <v>41.44296364885631</v>
      </c>
      <c r="K154" s="52">
        <f t="shared" si="180"/>
        <v>41.8178499323133</v>
      </c>
      <c r="L154" s="52">
        <f t="shared" si="180"/>
        <v>42.21761397567839</v>
      </c>
      <c r="M154" s="52">
        <f t="shared" si="180"/>
        <v>42.176548190386626</v>
      </c>
      <c r="N154" s="52" t="e">
        <f t="shared" si="180"/>
        <v>#REF!</v>
      </c>
      <c r="O154" s="52" t="e">
        <f t="shared" si="180"/>
        <v>#REF!</v>
      </c>
      <c r="P154" s="52" t="e">
        <f t="shared" si="180"/>
        <v>#REF!</v>
      </c>
      <c r="Q154" s="52" t="e">
        <f t="shared" si="180"/>
        <v>#REF!</v>
      </c>
      <c r="R154" s="52">
        <f t="shared" si="180"/>
        <v>39.71711018367098</v>
      </c>
      <c r="S154" s="52">
        <f t="shared" si="180"/>
        <v>39.07612240789745</v>
      </c>
      <c r="T154" s="52" t="e">
        <f t="shared" si="180"/>
        <v>#REF!</v>
      </c>
      <c r="U154" s="52">
        <f t="shared" si="180"/>
        <v>38.71352362663789</v>
      </c>
      <c r="V154" s="52">
        <f t="shared" si="180"/>
        <v>38.618438269317195</v>
      </c>
      <c r="W154" s="52" t="e">
        <f t="shared" si="180"/>
        <v>#REF!</v>
      </c>
      <c r="X154" s="52">
        <f t="shared" si="180"/>
        <v>39.52532581675824</v>
      </c>
      <c r="Y154" s="52">
        <f t="shared" si="180"/>
        <v>39.093002408554625</v>
      </c>
      <c r="Z154" s="52">
        <f t="shared" si="180"/>
        <v>39.170385958495054</v>
      </c>
      <c r="AA154" s="52">
        <f t="shared" si="180"/>
        <v>39.12516411787143</v>
      </c>
      <c r="AB154" s="52">
        <f t="shared" si="180"/>
        <v>39.070592349172074</v>
      </c>
      <c r="AC154" s="52">
        <f t="shared" si="180"/>
        <v>39.11131223131328</v>
      </c>
      <c r="AD154" s="52">
        <f t="shared" si="180"/>
        <v>39.06092865548688</v>
      </c>
      <c r="AE154" s="52">
        <f t="shared" si="180"/>
        <v>38.70116768572151</v>
      </c>
      <c r="AF154" s="52">
        <f t="shared" si="180"/>
        <v>38.95351854982115</v>
      </c>
      <c r="AG154" s="52">
        <f t="shared" si="180"/>
        <v>38.89198566826747</v>
      </c>
      <c r="AH154" s="52">
        <f t="shared" si="180"/>
        <v>38.90523628905465</v>
      </c>
      <c r="AI154" s="52">
        <f t="shared" si="180"/>
        <v>38.9261350235872</v>
      </c>
      <c r="AJ154" s="52">
        <f t="shared" si="180"/>
        <v>38.78050418036716</v>
      </c>
      <c r="AK154" s="52">
        <f t="shared" si="180"/>
        <v>39.58322791144029</v>
      </c>
      <c r="AL154" s="52">
        <f aca="true" t="shared" si="181" ref="AL154:AQ154">SUM(AL142:AL144)+AL147+AL148</f>
        <v>39.452296028812086</v>
      </c>
      <c r="AM154" s="52">
        <f t="shared" si="181"/>
        <v>39.259575520267326</v>
      </c>
      <c r="AN154" s="52">
        <f t="shared" si="181"/>
        <v>39.21916772686148</v>
      </c>
      <c r="AO154" s="52">
        <f t="shared" si="181"/>
        <v>39.05051354210507</v>
      </c>
      <c r="AP154" s="52">
        <f t="shared" si="181"/>
        <v>38.95707023869437</v>
      </c>
      <c r="AQ154" s="52">
        <f t="shared" si="181"/>
        <v>39.08667601182852</v>
      </c>
      <c r="AR154" s="52">
        <f aca="true" t="shared" si="182" ref="AR154:AW154">SUM(AR142:AR144)+AR147+AR148</f>
        <v>39.5560577411384</v>
      </c>
      <c r="AS154" s="52">
        <f t="shared" si="182"/>
        <v>39.53612727816507</v>
      </c>
      <c r="AT154" s="52">
        <f t="shared" si="182"/>
        <v>39.516152161252805</v>
      </c>
      <c r="AU154" s="52">
        <f t="shared" si="182"/>
        <v>39.52337011248319</v>
      </c>
      <c r="AV154" s="52">
        <f t="shared" si="182"/>
        <v>39.47336897747654</v>
      </c>
      <c r="AW154" s="52">
        <f t="shared" si="182"/>
        <v>39.47424046176087</v>
      </c>
      <c r="AX154" s="52">
        <f>SUM(AX142:AX144)+AX147+AX148</f>
        <v>39.484588902921466</v>
      </c>
      <c r="AY154" s="52">
        <f>SUM(AY142:AY144)+AY147+AY148</f>
        <v>41.478563497657554</v>
      </c>
      <c r="AZ154" s="52">
        <f>SUM(AZ142:AZ144)+AZ147+AZ148</f>
        <v>41.48325535488245</v>
      </c>
      <c r="BA154" s="52"/>
      <c r="BB154" s="52" t="e">
        <f aca="true" t="shared" si="183" ref="BB154:BI154">SUM(BB142:BB144)+BB147+BB148</f>
        <v>#REF!</v>
      </c>
      <c r="BC154" s="52" t="e">
        <f t="shared" si="183"/>
        <v>#REF!</v>
      </c>
      <c r="BD154" s="52">
        <f t="shared" si="183"/>
        <v>39.45052261993727</v>
      </c>
      <c r="BE154" s="52">
        <f t="shared" si="183"/>
        <v>39.453785262068976</v>
      </c>
      <c r="BF154" s="52">
        <f t="shared" si="183"/>
        <v>39.45796524737609</v>
      </c>
      <c r="BG154" s="52">
        <f t="shared" si="183"/>
        <v>39.462086333740196</v>
      </c>
      <c r="BH154" s="52">
        <f t="shared" si="183"/>
        <v>39.46418281902097</v>
      </c>
      <c r="BI154" s="52">
        <f t="shared" si="183"/>
        <v>39.437369324001914</v>
      </c>
    </row>
    <row r="155" spans="1:61" ht="15">
      <c r="A155" s="27" t="s">
        <v>31</v>
      </c>
      <c r="B155" s="51">
        <f>SUM(B151:B154)</f>
        <v>125.17166447067841</v>
      </c>
      <c r="C155" s="51">
        <f>SUM(C151:C154)</f>
        <v>139.61472213510962</v>
      </c>
      <c r="D155" s="51">
        <f>SUM(D151:D154)</f>
        <v>139.2211361425925</v>
      </c>
      <c r="E155" s="51">
        <f>SUM(E151:E154)</f>
        <v>150.78665915241183</v>
      </c>
      <c r="F155" s="51"/>
      <c r="G155" s="51">
        <f aca="true" t="shared" si="184" ref="G155:AY155">SUM(G151:G154)</f>
        <v>144.69778517421855</v>
      </c>
      <c r="H155" s="51">
        <f t="shared" si="184"/>
        <v>140.83472228028677</v>
      </c>
      <c r="I155" s="51">
        <f t="shared" si="184"/>
        <v>144.4494405296231</v>
      </c>
      <c r="J155" s="51">
        <f t="shared" si="184"/>
        <v>150.52775377841417</v>
      </c>
      <c r="K155" s="51">
        <f t="shared" si="184"/>
        <v>152.2803325873375</v>
      </c>
      <c r="L155" s="51">
        <f t="shared" si="184"/>
        <v>152.84429778557023</v>
      </c>
      <c r="M155" s="51">
        <f t="shared" si="184"/>
        <v>152.4367974763344</v>
      </c>
      <c r="N155" s="51" t="e">
        <f t="shared" si="184"/>
        <v>#REF!</v>
      </c>
      <c r="O155" s="51" t="e">
        <f t="shared" si="184"/>
        <v>#REF!</v>
      </c>
      <c r="P155" s="51" t="e">
        <f t="shared" si="184"/>
        <v>#REF!</v>
      </c>
      <c r="Q155" s="51" t="e">
        <f t="shared" si="184"/>
        <v>#REF!</v>
      </c>
      <c r="R155" s="51">
        <f t="shared" si="184"/>
        <v>147.49672130979803</v>
      </c>
      <c r="S155" s="51">
        <f t="shared" si="184"/>
        <v>140.88943077107103</v>
      </c>
      <c r="T155" s="51" t="e">
        <f t="shared" si="184"/>
        <v>#REF!</v>
      </c>
      <c r="U155" s="51">
        <f t="shared" si="184"/>
        <v>129.65058106066905</v>
      </c>
      <c r="V155" s="51">
        <f t="shared" si="184"/>
        <v>131.0618906509693</v>
      </c>
      <c r="W155" s="51" t="e">
        <f t="shared" si="184"/>
        <v>#REF!</v>
      </c>
      <c r="X155" s="51">
        <f t="shared" si="184"/>
        <v>138.90865784054017</v>
      </c>
      <c r="Y155" s="51">
        <f t="shared" si="184"/>
        <v>141.39109990246624</v>
      </c>
      <c r="Z155" s="51">
        <f t="shared" si="184"/>
        <v>145.33465480995076</v>
      </c>
      <c r="AA155" s="51">
        <f t="shared" si="184"/>
        <v>142.58078662224153</v>
      </c>
      <c r="AB155" s="51">
        <f t="shared" si="184"/>
        <v>137.70498338591665</v>
      </c>
      <c r="AC155" s="51">
        <f t="shared" si="184"/>
        <v>134.6627386115876</v>
      </c>
      <c r="AD155" s="51">
        <f t="shared" si="184"/>
        <v>134.1686844236258</v>
      </c>
      <c r="AE155" s="51">
        <f t="shared" si="184"/>
        <v>134.65902832752093</v>
      </c>
      <c r="AF155" s="51">
        <f t="shared" si="184"/>
        <v>136.54102936277624</v>
      </c>
      <c r="AG155" s="51">
        <f t="shared" si="184"/>
        <v>138.30134513998217</v>
      </c>
      <c r="AH155" s="51">
        <f t="shared" si="184"/>
        <v>138.61596027450094</v>
      </c>
      <c r="AI155" s="51">
        <f t="shared" si="184"/>
        <v>139.1305665510783</v>
      </c>
      <c r="AJ155" s="51">
        <f t="shared" si="184"/>
        <v>138.73341626238545</v>
      </c>
      <c r="AK155" s="51">
        <f t="shared" si="184"/>
        <v>137.4472288363147</v>
      </c>
      <c r="AL155" s="51">
        <f t="shared" si="184"/>
        <v>137.38235219242017</v>
      </c>
      <c r="AM155" s="51">
        <f t="shared" si="184"/>
        <v>138.74007956229798</v>
      </c>
      <c r="AN155" s="51">
        <f t="shared" si="184"/>
        <v>138.33179072822625</v>
      </c>
      <c r="AO155" s="51">
        <f t="shared" si="184"/>
        <v>143.44981437099335</v>
      </c>
      <c r="AP155" s="51">
        <f t="shared" si="184"/>
        <v>151.6983190773384</v>
      </c>
      <c r="AQ155" s="51">
        <f t="shared" si="184"/>
        <v>165.44502273014172</v>
      </c>
      <c r="AR155" s="51">
        <f t="shared" si="184"/>
        <v>161.99995149048382</v>
      </c>
      <c r="AS155" s="51">
        <f t="shared" si="184"/>
        <v>170.15447338682947</v>
      </c>
      <c r="AT155" s="51">
        <f t="shared" si="184"/>
        <v>165.3465128984535</v>
      </c>
      <c r="AU155" s="51">
        <f t="shared" si="184"/>
        <v>165.4869699876213</v>
      </c>
      <c r="AV155" s="51">
        <f t="shared" si="184"/>
        <v>157.41035688039273</v>
      </c>
      <c r="AW155" s="51">
        <f t="shared" si="184"/>
        <v>157.56180434753148</v>
      </c>
      <c r="AX155" s="51">
        <f t="shared" si="184"/>
        <v>159.3601674744283</v>
      </c>
      <c r="AY155" s="51">
        <f t="shared" si="184"/>
        <v>160.35396145010617</v>
      </c>
      <c r="AZ155" s="51">
        <f>SUM(AZ151:AZ154)</f>
        <v>160.080174205242</v>
      </c>
      <c r="BA155" s="51"/>
      <c r="BB155" s="51" t="e">
        <f aca="true" t="shared" si="185" ref="BB155:BI155">SUM(BB151:BB154)</f>
        <v>#REF!</v>
      </c>
      <c r="BC155" s="51" t="e">
        <f t="shared" si="185"/>
        <v>#REF!</v>
      </c>
      <c r="BD155" s="51">
        <f t="shared" si="185"/>
        <v>152.82745514394574</v>
      </c>
      <c r="BE155" s="51">
        <f t="shared" si="185"/>
        <v>153.39444056859668</v>
      </c>
      <c r="BF155" s="51">
        <f t="shared" si="185"/>
        <v>154.12084286732284</v>
      </c>
      <c r="BG155" s="51">
        <f t="shared" si="185"/>
        <v>154.8370096449996</v>
      </c>
      <c r="BH155" s="51">
        <f t="shared" si="185"/>
        <v>155.20133909003613</v>
      </c>
      <c r="BI155" s="51">
        <f t="shared" si="185"/>
        <v>150.54166136687186</v>
      </c>
    </row>
    <row r="157" spans="1:61" ht="15">
      <c r="A157" s="21" t="s">
        <v>160</v>
      </c>
      <c r="B157" s="78">
        <f>B151/B155</f>
        <v>0.48791766106803336</v>
      </c>
      <c r="C157" s="78">
        <f aca="true" t="shared" si="186" ref="C157:BH157">C151/C155</f>
        <v>0.5454457233507822</v>
      </c>
      <c r="D157" s="78">
        <f t="shared" si="186"/>
        <v>0.5404566193201906</v>
      </c>
      <c r="E157" s="78">
        <f t="shared" si="186"/>
        <v>0.5629811444676042</v>
      </c>
      <c r="F157" s="6"/>
      <c r="G157" s="78">
        <f t="shared" si="186"/>
        <v>0.5558086538279807</v>
      </c>
      <c r="H157" s="78">
        <f t="shared" si="186"/>
        <v>0.5437566175048691</v>
      </c>
      <c r="I157" s="78">
        <f t="shared" si="186"/>
        <v>0.554276996928973</v>
      </c>
      <c r="J157" s="78">
        <f t="shared" si="186"/>
        <v>0.5700789674586185</v>
      </c>
      <c r="K157" s="78">
        <f t="shared" si="186"/>
        <v>0.572393352533552</v>
      </c>
      <c r="L157" s="78">
        <f t="shared" si="186"/>
        <v>0.571241583288393</v>
      </c>
      <c r="M157" s="78">
        <f t="shared" si="186"/>
        <v>0.5702313848228491</v>
      </c>
      <c r="N157" s="78" t="e">
        <f t="shared" si="186"/>
        <v>#REF!</v>
      </c>
      <c r="O157" s="78" t="e">
        <f t="shared" si="186"/>
        <v>#REF!</v>
      </c>
      <c r="P157" s="78" t="e">
        <f t="shared" si="186"/>
        <v>#REF!</v>
      </c>
      <c r="Q157" s="78" t="e">
        <f t="shared" si="186"/>
        <v>#REF!</v>
      </c>
      <c r="R157" s="78">
        <f t="shared" si="186"/>
        <v>0.5671932288255461</v>
      </c>
      <c r="S157" s="78">
        <f t="shared" si="186"/>
        <v>0.5515073395186171</v>
      </c>
      <c r="T157" s="78" t="e">
        <f t="shared" si="186"/>
        <v>#REF!</v>
      </c>
      <c r="U157" s="78">
        <f t="shared" si="186"/>
        <v>0.5166363075750214</v>
      </c>
      <c r="V157" s="78">
        <f t="shared" si="186"/>
        <v>0.5235422062330805</v>
      </c>
      <c r="W157" s="78" t="e">
        <f t="shared" si="186"/>
        <v>#REF!</v>
      </c>
      <c r="X157" s="78">
        <f t="shared" si="186"/>
        <v>0.5441162637401706</v>
      </c>
      <c r="Y157" s="78">
        <f t="shared" si="186"/>
        <v>0.5651004418672579</v>
      </c>
      <c r="Z157" s="78">
        <f t="shared" si="186"/>
        <v>0.5762134697389122</v>
      </c>
      <c r="AA157" s="78">
        <f t="shared" si="186"/>
        <v>0.5683849904389262</v>
      </c>
      <c r="AB157" s="78">
        <f t="shared" si="186"/>
        <v>0.5534578780860026</v>
      </c>
      <c r="AC157" s="78">
        <f t="shared" si="186"/>
        <v>0.5430255194370518</v>
      </c>
      <c r="AD157" s="78">
        <f t="shared" si="186"/>
        <v>0.541676275776661</v>
      </c>
      <c r="AE157" s="78">
        <f t="shared" si="186"/>
        <v>0.5456032720644294</v>
      </c>
      <c r="AF157" s="78">
        <f t="shared" si="186"/>
        <v>0.5501163364510364</v>
      </c>
      <c r="AG157" s="78">
        <f t="shared" si="186"/>
        <v>0.5569806552828281</v>
      </c>
      <c r="AH157" s="78">
        <f t="shared" si="186"/>
        <v>0.5578092080420467</v>
      </c>
      <c r="AI157" s="78">
        <f t="shared" si="186"/>
        <v>0.5597809632845057</v>
      </c>
      <c r="AJ157" s="78">
        <f t="shared" si="186"/>
        <v>0.5595907968371329</v>
      </c>
      <c r="AK157" s="78">
        <f t="shared" si="186"/>
        <v>0.5478932563837823</v>
      </c>
      <c r="AL157" s="78">
        <f t="shared" si="186"/>
        <v>0.548653846051062</v>
      </c>
      <c r="AM157" s="78">
        <f t="shared" si="186"/>
        <v>0.554459850614355</v>
      </c>
      <c r="AN157" s="78">
        <f t="shared" si="186"/>
        <v>0.5534369384263899</v>
      </c>
      <c r="AO157" s="78">
        <f t="shared" si="186"/>
        <v>0.5705048777357904</v>
      </c>
      <c r="AP157" s="78">
        <f t="shared" si="186"/>
        <v>0.5944362838093195</v>
      </c>
      <c r="AQ157" s="78">
        <f t="shared" si="186"/>
        <v>0.6261801778818337</v>
      </c>
      <c r="AR157" s="78">
        <f t="shared" si="186"/>
        <v>0.6163027284370358</v>
      </c>
      <c r="AS157" s="78">
        <f t="shared" si="186"/>
        <v>0.6332225451774977</v>
      </c>
      <c r="AT157" s="78">
        <f t="shared" si="186"/>
        <v>0.622625714240101</v>
      </c>
      <c r="AU157" s="78">
        <f t="shared" si="186"/>
        <v>0.6230246769158101</v>
      </c>
      <c r="AV157" s="78">
        <f t="shared" si="186"/>
        <v>0.6039632598259265</v>
      </c>
      <c r="AW157" s="78">
        <f t="shared" si="186"/>
        <v>0.6043383969167571</v>
      </c>
      <c r="AX157" s="78">
        <f t="shared" si="186"/>
        <v>0.608738460042103</v>
      </c>
      <c r="AY157" s="78">
        <f t="shared" si="186"/>
        <v>0.6051063799823316</v>
      </c>
      <c r="AZ157" s="78">
        <f>AZ151/AZ155</f>
        <v>0.6039827802754272</v>
      </c>
      <c r="BA157" s="78"/>
      <c r="BB157" s="78" t="e">
        <f t="shared" si="186"/>
        <v>#REF!</v>
      </c>
      <c r="BC157" s="78" t="e">
        <f t="shared" si="186"/>
        <v>#REF!</v>
      </c>
      <c r="BD157" s="78">
        <f t="shared" si="186"/>
        <v>0.5922744612473531</v>
      </c>
      <c r="BE157" s="78">
        <f t="shared" si="186"/>
        <v>0.5937602503982125</v>
      </c>
      <c r="BF157" s="78">
        <f t="shared" si="186"/>
        <v>0.5956478179538093</v>
      </c>
      <c r="BG157" s="78">
        <f t="shared" si="186"/>
        <v>0.5974914502582109</v>
      </c>
      <c r="BH157" s="78">
        <f t="shared" si="186"/>
        <v>0.5984228161350558</v>
      </c>
      <c r="BI157" s="1">
        <f>BI138/BI149</f>
        <v>0.5861710132386297</v>
      </c>
    </row>
    <row r="158" spans="1:54" ht="15">
      <c r="A158" s="2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BB158" s="52"/>
    </row>
    <row r="159" spans="1:58" ht="15">
      <c r="A159" s="2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2"/>
      <c r="BC159" s="51"/>
      <c r="BD159" s="51"/>
      <c r="BE159" s="51"/>
      <c r="BF159" s="51"/>
    </row>
    <row r="160" spans="1:58" ht="15">
      <c r="A160" s="9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2"/>
      <c r="BC160" s="53"/>
      <c r="BD160" s="53"/>
      <c r="BE160" s="53"/>
      <c r="BF160" s="53"/>
    </row>
    <row r="161" spans="1:58" ht="15">
      <c r="A161" s="9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</row>
    <row r="162" spans="1:58" ht="15">
      <c r="A162" s="9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</row>
    <row r="163" spans="1:58" ht="15">
      <c r="A163" s="9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</row>
    <row r="164" spans="1:58" ht="15">
      <c r="A164" s="9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</row>
    <row r="165" spans="1:58" ht="15">
      <c r="A165" s="9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2"/>
      <c r="BC165" s="54"/>
      <c r="BD165" s="54"/>
      <c r="BE165" s="54"/>
      <c r="BF165" s="54"/>
    </row>
    <row r="166" spans="1:58" ht="15">
      <c r="A166" s="9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</row>
    <row r="167" spans="1:58" ht="15">
      <c r="A167" s="2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2"/>
      <c r="BC167" s="51"/>
      <c r="BD167" s="51"/>
      <c r="BE167" s="51"/>
      <c r="BF167" s="51"/>
    </row>
    <row r="168" spans="1:58" ht="15">
      <c r="A168" s="9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</row>
    <row r="169" spans="1:58" ht="15">
      <c r="A169" s="9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</row>
    <row r="170" spans="1:58" ht="15">
      <c r="A170" s="9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2"/>
      <c r="BC170" s="54"/>
      <c r="BD170" s="54"/>
      <c r="BE170" s="54"/>
      <c r="BF170" s="54"/>
    </row>
    <row r="171" spans="1:58" ht="15">
      <c r="A171" s="2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2"/>
      <c r="BC171" s="51"/>
      <c r="BD171" s="51"/>
      <c r="BE171" s="51"/>
      <c r="BF171" s="51"/>
    </row>
    <row r="172" spans="1:58" ht="15">
      <c r="A172" s="2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2"/>
      <c r="BC172" s="55"/>
      <c r="BD172" s="55"/>
      <c r="BE172" s="55"/>
      <c r="BF172" s="55"/>
    </row>
    <row r="173" spans="1:58" ht="15">
      <c r="A173" s="18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</row>
    <row r="174" spans="1:58" ht="15">
      <c r="A174" s="18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</row>
    <row r="175" spans="1:58" ht="15">
      <c r="A175" s="18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</row>
    <row r="176" spans="1:58" ht="15">
      <c r="A176" s="18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</row>
    <row r="177" spans="1:58" ht="15">
      <c r="A177" s="27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2"/>
      <c r="BC177" s="51"/>
      <c r="BD177" s="51"/>
      <c r="BE177" s="51"/>
      <c r="BF177" s="51"/>
    </row>
    <row r="178" ht="15">
      <c r="BB178" s="52"/>
    </row>
    <row r="179" ht="15">
      <c r="BB179" s="5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21"/>
  <sheetViews>
    <sheetView zoomScale="75" zoomScaleNormal="75" zoomScalePageLayoutView="0" workbookViewId="0" topLeftCell="A1">
      <pane xSplit="1" ySplit="3" topLeftCell="A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K15" sqref="BK15"/>
    </sheetView>
  </sheetViews>
  <sheetFormatPr defaultColWidth="9.140625" defaultRowHeight="12.75"/>
  <cols>
    <col min="1" max="1" width="34.28125" style="1" customWidth="1"/>
    <col min="2" max="63" width="9.140625" style="1" customWidth="1"/>
    <col min="64" max="64" width="4.421875" style="1" customWidth="1"/>
    <col min="65" max="16384" width="9.140625" style="1" customWidth="1"/>
  </cols>
  <sheetData>
    <row r="3" spans="2:70" ht="15">
      <c r="B3" s="6">
        <v>39083</v>
      </c>
      <c r="C3" s="6">
        <v>39114</v>
      </c>
      <c r="D3" s="6">
        <v>39142</v>
      </c>
      <c r="E3" s="6">
        <v>39173</v>
      </c>
      <c r="F3" s="6">
        <v>39203</v>
      </c>
      <c r="G3" s="6">
        <v>39234</v>
      </c>
      <c r="H3" s="6">
        <v>39264</v>
      </c>
      <c r="I3" s="6">
        <v>39295</v>
      </c>
      <c r="J3" s="6">
        <v>39326</v>
      </c>
      <c r="K3" s="6">
        <v>39356</v>
      </c>
      <c r="L3" s="6">
        <v>39387</v>
      </c>
      <c r="M3" s="6">
        <v>39417</v>
      </c>
      <c r="N3" s="47">
        <v>2007</v>
      </c>
      <c r="O3" s="6">
        <v>39448</v>
      </c>
      <c r="P3" s="6">
        <v>39479</v>
      </c>
      <c r="Q3" s="6">
        <v>39508</v>
      </c>
      <c r="R3" s="6">
        <v>39539</v>
      </c>
      <c r="S3" s="6">
        <v>39569</v>
      </c>
      <c r="T3" s="6">
        <v>39600</v>
      </c>
      <c r="U3" s="6">
        <v>39630</v>
      </c>
      <c r="V3" s="6">
        <v>39661</v>
      </c>
      <c r="W3" s="6">
        <v>39692</v>
      </c>
      <c r="X3" s="6">
        <v>39722</v>
      </c>
      <c r="Y3" s="6">
        <v>39753</v>
      </c>
      <c r="Z3" s="6">
        <v>39783</v>
      </c>
      <c r="AA3" s="47">
        <v>2008</v>
      </c>
      <c r="AB3" s="6">
        <v>39814</v>
      </c>
      <c r="AC3" s="6">
        <v>39845</v>
      </c>
      <c r="AD3" s="6">
        <v>39873</v>
      </c>
      <c r="AE3" s="6">
        <v>39904</v>
      </c>
      <c r="AF3" s="6">
        <v>39934</v>
      </c>
      <c r="AG3" s="6">
        <v>39965</v>
      </c>
      <c r="AH3" s="6">
        <v>39995</v>
      </c>
      <c r="AI3" s="6">
        <v>40026</v>
      </c>
      <c r="AJ3" s="6">
        <v>40057</v>
      </c>
      <c r="AK3" s="6">
        <v>40087</v>
      </c>
      <c r="AL3" s="6">
        <v>40118</v>
      </c>
      <c r="AM3" s="6">
        <v>40148</v>
      </c>
      <c r="AN3" s="47">
        <v>2009</v>
      </c>
      <c r="AO3" s="6">
        <v>40179</v>
      </c>
      <c r="AP3" s="6">
        <v>40210</v>
      </c>
      <c r="AQ3" s="6">
        <v>40238</v>
      </c>
      <c r="AR3" s="6">
        <v>40269</v>
      </c>
      <c r="AS3" s="6">
        <v>40299</v>
      </c>
      <c r="AT3" s="6">
        <v>40330</v>
      </c>
      <c r="AU3" s="6">
        <v>40360</v>
      </c>
      <c r="AV3" s="6">
        <v>40391</v>
      </c>
      <c r="AW3" s="6">
        <v>40422</v>
      </c>
      <c r="AX3" s="6">
        <v>40452</v>
      </c>
      <c r="AY3" s="6">
        <v>40483</v>
      </c>
      <c r="AZ3" s="6">
        <v>40513</v>
      </c>
      <c r="BA3" s="47">
        <v>2010</v>
      </c>
      <c r="BB3" s="6">
        <v>40544</v>
      </c>
      <c r="BC3" s="6">
        <v>40575</v>
      </c>
      <c r="BD3" s="6">
        <v>40603</v>
      </c>
      <c r="BE3" s="6">
        <v>40634</v>
      </c>
      <c r="BF3" s="6">
        <v>40664</v>
      </c>
      <c r="BG3" s="6">
        <v>40695</v>
      </c>
      <c r="BH3" s="6">
        <v>40725</v>
      </c>
      <c r="BI3" s="6">
        <v>40756</v>
      </c>
      <c r="BJ3" s="6">
        <v>40787</v>
      </c>
      <c r="BK3" s="6">
        <v>40817</v>
      </c>
      <c r="BL3" s="6"/>
      <c r="BM3" s="6">
        <v>40848</v>
      </c>
      <c r="BN3" s="6">
        <v>40909</v>
      </c>
      <c r="BO3" s="6">
        <v>40969</v>
      </c>
      <c r="BP3" s="6">
        <v>41030</v>
      </c>
      <c r="BQ3" s="6">
        <v>41091</v>
      </c>
      <c r="BR3" s="6">
        <v>41214</v>
      </c>
    </row>
    <row r="5" spans="1:70" ht="15">
      <c r="A5" s="2" t="s">
        <v>132</v>
      </c>
      <c r="B5" s="48">
        <v>140.1</v>
      </c>
      <c r="C5" s="48">
        <v>140.7</v>
      </c>
      <c r="D5" s="48">
        <v>140.3</v>
      </c>
      <c r="E5" s="48">
        <v>138</v>
      </c>
      <c r="F5" s="48">
        <v>135.2</v>
      </c>
      <c r="G5" s="48">
        <v>132.6</v>
      </c>
      <c r="H5" s="48">
        <v>130.6</v>
      </c>
      <c r="I5" s="48">
        <v>129.4</v>
      </c>
      <c r="J5" s="48">
        <v>129.2</v>
      </c>
      <c r="K5" s="48">
        <v>129.2</v>
      </c>
      <c r="L5" s="48">
        <v>129.9</v>
      </c>
      <c r="M5" s="48">
        <v>130</v>
      </c>
      <c r="N5" s="49">
        <f>AVERAGE(B5:M5)</f>
        <v>133.76666666666668</v>
      </c>
      <c r="O5" s="48">
        <v>130.9</v>
      </c>
      <c r="P5" s="48">
        <v>144.7</v>
      </c>
      <c r="Q5" s="48">
        <v>145.8</v>
      </c>
      <c r="R5" s="48">
        <v>149.4</v>
      </c>
      <c r="S5" s="48">
        <v>150.3</v>
      </c>
      <c r="T5" s="48">
        <v>150.9</v>
      </c>
      <c r="U5" s="48">
        <v>151.6</v>
      </c>
      <c r="V5" s="48">
        <v>160.4</v>
      </c>
      <c r="W5" s="48">
        <v>180.2</v>
      </c>
      <c r="X5" s="48">
        <v>180</v>
      </c>
      <c r="Y5" s="48">
        <v>179.3</v>
      </c>
      <c r="Z5" s="48">
        <v>178.6</v>
      </c>
      <c r="AA5" s="49">
        <f>AVERAGE(O5:Z5)</f>
        <v>158.50833333333335</v>
      </c>
      <c r="AB5" s="48">
        <v>178.3</v>
      </c>
      <c r="AC5" s="48">
        <v>177.9</v>
      </c>
      <c r="AD5" s="48">
        <v>172.9</v>
      </c>
      <c r="AE5" s="48">
        <v>168.5</v>
      </c>
      <c r="AF5" s="48">
        <v>166.9</v>
      </c>
      <c r="AG5" s="48">
        <v>167.6</v>
      </c>
      <c r="AH5" s="48">
        <v>166.4</v>
      </c>
      <c r="AI5" s="48">
        <v>167.2</v>
      </c>
      <c r="AJ5" s="48">
        <v>167</v>
      </c>
      <c r="AK5" s="48">
        <v>167.2</v>
      </c>
      <c r="AL5" s="48">
        <v>167.4</v>
      </c>
      <c r="AM5" s="48">
        <v>167.6</v>
      </c>
      <c r="AN5" s="49">
        <f>AVERAGE(AB5:AM5)</f>
        <v>169.57500000000002</v>
      </c>
      <c r="AO5" s="48">
        <v>169.57500000000002</v>
      </c>
      <c r="AP5" s="48">
        <v>169.1</v>
      </c>
      <c r="AQ5" s="48">
        <v>165.7</v>
      </c>
      <c r="AR5" s="48">
        <v>166.1</v>
      </c>
      <c r="AS5" s="48">
        <v>163.7</v>
      </c>
      <c r="AT5" s="48">
        <v>163.6</v>
      </c>
      <c r="AU5" s="48">
        <v>163.3</v>
      </c>
      <c r="AV5" s="48">
        <v>163.2</v>
      </c>
      <c r="AW5" s="48">
        <v>163.2</v>
      </c>
      <c r="AX5" s="48">
        <v>163.2</v>
      </c>
      <c r="AY5" s="48">
        <v>163.4</v>
      </c>
      <c r="AZ5" s="48">
        <v>163.6</v>
      </c>
      <c r="BA5" s="49">
        <f>AVERAGE(AO5:AZ5)</f>
        <v>164.80625</v>
      </c>
      <c r="BB5" s="48">
        <v>170.3</v>
      </c>
      <c r="BC5" s="48">
        <v>164.86666666666667</v>
      </c>
      <c r="BD5" s="48">
        <v>174.2</v>
      </c>
      <c r="BE5" s="48">
        <v>174.5</v>
      </c>
      <c r="BF5" s="48">
        <v>173.8</v>
      </c>
      <c r="BG5" s="48">
        <v>174</v>
      </c>
      <c r="BH5" s="48">
        <v>174</v>
      </c>
      <c r="BI5" s="48">
        <v>174</v>
      </c>
      <c r="BJ5" s="48">
        <v>173.8</v>
      </c>
      <c r="BK5" s="48">
        <v>176.3</v>
      </c>
      <c r="BL5" s="48"/>
      <c r="BM5" s="48">
        <v>173.8</v>
      </c>
      <c r="BN5" s="48">
        <f>BM5</f>
        <v>173.8</v>
      </c>
      <c r="BO5" s="48">
        <f>BM5</f>
        <v>173.8</v>
      </c>
      <c r="BP5" s="48">
        <f>BN5</f>
        <v>173.8</v>
      </c>
      <c r="BQ5" s="48">
        <f>BO5</f>
        <v>173.8</v>
      </c>
      <c r="BR5" s="48">
        <f>BP5</f>
        <v>173.8</v>
      </c>
    </row>
    <row r="7" spans="1:70" ht="15">
      <c r="A7" s="2" t="s">
        <v>133</v>
      </c>
      <c r="B7" s="1">
        <v>100.5</v>
      </c>
      <c r="C7" s="1">
        <v>99.7</v>
      </c>
      <c r="D7" s="1">
        <v>102.2</v>
      </c>
      <c r="E7" s="1">
        <v>105.9</v>
      </c>
      <c r="F7" s="1">
        <v>109.3</v>
      </c>
      <c r="G7" s="1">
        <v>110.6</v>
      </c>
      <c r="H7" s="1">
        <v>110.2</v>
      </c>
      <c r="I7" s="1">
        <v>109.6</v>
      </c>
      <c r="J7" s="1">
        <v>108.8</v>
      </c>
      <c r="K7" s="1">
        <v>111.8</v>
      </c>
      <c r="L7" s="1">
        <v>116.1</v>
      </c>
      <c r="M7" s="1">
        <v>118.3</v>
      </c>
      <c r="N7" s="49">
        <f>AVERAGE(B7:M7)</f>
        <v>108.58333333333331</v>
      </c>
      <c r="O7" s="1">
        <v>119.8</v>
      </c>
      <c r="P7" s="1">
        <v>120</v>
      </c>
      <c r="Q7" s="1">
        <v>122.9</v>
      </c>
      <c r="R7" s="1">
        <v>125.6</v>
      </c>
      <c r="S7" s="1">
        <v>130.7</v>
      </c>
      <c r="T7" s="1">
        <v>137.1</v>
      </c>
      <c r="U7" s="1">
        <v>138.6</v>
      </c>
      <c r="V7" s="1">
        <v>132.1</v>
      </c>
      <c r="W7" s="1">
        <v>130.1</v>
      </c>
      <c r="X7" s="1">
        <v>122.1</v>
      </c>
      <c r="Y7" s="48">
        <v>112</v>
      </c>
      <c r="Z7" s="48">
        <v>105.1</v>
      </c>
      <c r="AA7" s="49">
        <f>AVERAGE(O7:Z7)</f>
        <v>124.67499999999997</v>
      </c>
      <c r="AB7" s="48">
        <v>102.2</v>
      </c>
      <c r="AC7" s="48">
        <v>105.1</v>
      </c>
      <c r="AD7" s="48">
        <v>105.3</v>
      </c>
      <c r="AE7" s="48">
        <v>109.6</v>
      </c>
      <c r="AF7" s="48">
        <v>112.1</v>
      </c>
      <c r="AG7" s="48">
        <v>116.7</v>
      </c>
      <c r="AH7" s="48">
        <v>116.9</v>
      </c>
      <c r="AI7" s="48">
        <v>118.6</v>
      </c>
      <c r="AJ7" s="48">
        <v>121.1</v>
      </c>
      <c r="AK7" s="48">
        <v>120.7</v>
      </c>
      <c r="AL7" s="48">
        <v>124</v>
      </c>
      <c r="AM7" s="48">
        <v>124.4</v>
      </c>
      <c r="AN7" s="49">
        <f>AVERAGE(AB7:AM7)</f>
        <v>114.72500000000002</v>
      </c>
      <c r="AO7" s="48">
        <v>114.72500000000002</v>
      </c>
      <c r="AP7" s="48">
        <v>128.3</v>
      </c>
      <c r="AQ7" s="48">
        <v>128.5</v>
      </c>
      <c r="AR7" s="48">
        <v>132.2</v>
      </c>
      <c r="AS7" s="48">
        <v>138</v>
      </c>
      <c r="AT7" s="48">
        <v>138.5</v>
      </c>
      <c r="AU7" s="48">
        <v>135.7</v>
      </c>
      <c r="AV7" s="48">
        <v>134.8</v>
      </c>
      <c r="AW7" s="48">
        <v>133.5</v>
      </c>
      <c r="AX7" s="48">
        <v>132.4</v>
      </c>
      <c r="AY7" s="48">
        <v>135</v>
      </c>
      <c r="AZ7" s="48">
        <v>137.3</v>
      </c>
      <c r="BA7" s="49">
        <f>AVERAGE(AO7:AZ7)</f>
        <v>132.41041666666666</v>
      </c>
      <c r="BB7" s="48">
        <v>142.4</v>
      </c>
      <c r="BC7" s="48">
        <v>134.71666666666667</v>
      </c>
      <c r="BD7" s="48">
        <v>152.6</v>
      </c>
      <c r="BE7" s="48">
        <v>155</v>
      </c>
      <c r="BF7" s="48">
        <v>157</v>
      </c>
      <c r="BG7" s="48">
        <v>155.9</v>
      </c>
      <c r="BH7" s="48">
        <v>155.9</v>
      </c>
      <c r="BI7" s="48">
        <v>155.9</v>
      </c>
      <c r="BJ7" s="48">
        <v>154.8</v>
      </c>
      <c r="BK7" s="48">
        <v>156.9</v>
      </c>
      <c r="BL7" s="48"/>
      <c r="BM7" s="48">
        <v>157</v>
      </c>
      <c r="BN7" s="48">
        <f>BM7</f>
        <v>157</v>
      </c>
      <c r="BO7" s="48">
        <f>BM7</f>
        <v>157</v>
      </c>
      <c r="BP7" s="48">
        <f>BN7</f>
        <v>157</v>
      </c>
      <c r="BQ7" s="48">
        <f>BO7</f>
        <v>157</v>
      </c>
      <c r="BR7" s="48">
        <f>BP7</f>
        <v>157</v>
      </c>
    </row>
    <row r="9" ht="15">
      <c r="A9" s="2" t="s">
        <v>134</v>
      </c>
    </row>
    <row r="11" spans="1:70" ht="15">
      <c r="A11" s="1" t="s">
        <v>135</v>
      </c>
      <c r="N11" s="49" t="e">
        <f>#REF!</f>
        <v>#REF!</v>
      </c>
      <c r="O11" s="48">
        <v>162.16</v>
      </c>
      <c r="P11" s="48">
        <v>157.08</v>
      </c>
      <c r="Q11" s="48">
        <v>173.64</v>
      </c>
      <c r="R11" s="48">
        <v>173.73</v>
      </c>
      <c r="S11" s="48">
        <v>176.93</v>
      </c>
      <c r="T11" s="48">
        <v>180.88</v>
      </c>
      <c r="U11" s="48">
        <v>205.8</v>
      </c>
      <c r="V11" s="48" t="e">
        <v>#REF!</v>
      </c>
      <c r="W11" s="48" t="e">
        <v>#REF!</v>
      </c>
      <c r="X11" s="48" t="e">
        <v>#REF!</v>
      </c>
      <c r="Y11" s="48" t="e">
        <v>#REF!</v>
      </c>
      <c r="Z11" s="48">
        <v>195.92629374</v>
      </c>
      <c r="AA11" s="49" t="e">
        <f>AVERAGE(O11:Z11)</f>
        <v>#REF!</v>
      </c>
      <c r="AB11" s="48">
        <v>186.92403403</v>
      </c>
      <c r="AC11" s="48" t="e">
        <v>#REF!</v>
      </c>
      <c r="AD11" s="48">
        <v>161.3299285845</v>
      </c>
      <c r="AE11" s="48">
        <v>164.468474201</v>
      </c>
      <c r="AF11" s="48" t="e">
        <v>#REF!</v>
      </c>
      <c r="AG11" s="48">
        <v>178.9319471085</v>
      </c>
      <c r="AH11" s="48">
        <v>180.66596172345834</v>
      </c>
      <c r="AI11" s="48">
        <v>186.14603762995836</v>
      </c>
      <c r="AJ11" s="48">
        <v>174.22448016750002</v>
      </c>
      <c r="AK11" s="48">
        <v>167.5114162475</v>
      </c>
      <c r="AL11" s="48">
        <v>158.609095808</v>
      </c>
      <c r="AM11" s="48">
        <v>156.1862442395</v>
      </c>
      <c r="AN11" s="49" t="e">
        <f>AVERAGE(AB11:AM11)</f>
        <v>#REF!</v>
      </c>
      <c r="AO11" s="48">
        <v>160.1761163815</v>
      </c>
      <c r="AP11" s="48">
        <v>162.17746429800002</v>
      </c>
      <c r="AQ11" s="48">
        <v>166.8840498305</v>
      </c>
      <c r="AR11" s="48">
        <v>168.09796069499998</v>
      </c>
      <c r="AS11" s="48">
        <v>169.03783277600002</v>
      </c>
      <c r="AT11" s="48">
        <v>167.53522515150001</v>
      </c>
      <c r="AU11" s="48">
        <v>167.215</v>
      </c>
      <c r="AV11" s="48">
        <v>163.035</v>
      </c>
      <c r="AW11" s="48">
        <v>165.405</v>
      </c>
      <c r="AX11" s="48">
        <v>170.005</v>
      </c>
      <c r="AY11" s="48">
        <v>183.23000000000002</v>
      </c>
      <c r="AZ11" s="48">
        <v>206.005</v>
      </c>
      <c r="BA11" s="49">
        <f>AVERAGE(AO11:AZ11)</f>
        <v>170.73363742770835</v>
      </c>
      <c r="BB11" s="48">
        <v>239.42</v>
      </c>
      <c r="BC11" s="48">
        <v>246.66</v>
      </c>
      <c r="BD11" s="48">
        <v>249.87</v>
      </c>
      <c r="BE11" s="48">
        <v>239.075</v>
      </c>
      <c r="BF11" s="48">
        <v>233.8</v>
      </c>
      <c r="BG11" s="48">
        <v>231.25</v>
      </c>
      <c r="BH11" s="48">
        <v>233.20499999999998</v>
      </c>
      <c r="BI11" s="48">
        <v>227.49</v>
      </c>
      <c r="BJ11" s="48">
        <v>220.88</v>
      </c>
      <c r="BK11" s="48">
        <v>220.45</v>
      </c>
      <c r="BL11" s="48"/>
      <c r="BM11" s="48">
        <f>AVERAGE($AZ11:$BF11)*'Feed price forecasts'!H33/100</f>
        <v>211.38457666569334</v>
      </c>
      <c r="BN11" s="48">
        <f>AVERAGE($AZ11:$BF11)*'Feed price forecasts'!I33/100</f>
        <v>212.57025202757345</v>
      </c>
      <c r="BO11" s="48">
        <f>AVERAGE($AZ11:$BF11)*'Feed price forecasts'!J33/100</f>
        <v>214.06924664406833</v>
      </c>
      <c r="BP11" s="48">
        <f>AVERAGE($AZ11:$BF11)*'Feed price forecasts'!K33/100</f>
        <v>215.5372285564455</v>
      </c>
      <c r="BQ11" s="48">
        <f>AVERAGE($AZ11:$BF11)*'Feed price forecasts'!L33/100</f>
        <v>216.297858111034</v>
      </c>
      <c r="BR11" s="48">
        <f>AVERAGE($AZ11:$BF11)*'Feed price forecasts'!M33/100</f>
        <v>206.68266246540304</v>
      </c>
    </row>
    <row r="12" spans="14:53" ht="15">
      <c r="N12" s="49"/>
      <c r="O12" s="48"/>
      <c r="P12" s="48"/>
      <c r="Q12" s="48"/>
      <c r="R12" s="48"/>
      <c r="S12" s="48"/>
      <c r="T12" s="48"/>
      <c r="U12" s="48"/>
      <c r="V12" s="48"/>
      <c r="W12" s="48"/>
      <c r="AA12" s="49"/>
      <c r="AN12" s="49"/>
      <c r="BA12" s="49"/>
    </row>
    <row r="13" spans="1:70" ht="15">
      <c r="A13" s="1" t="s">
        <v>136</v>
      </c>
      <c r="N13" s="49" t="e">
        <f>#REF!</f>
        <v>#REF!</v>
      </c>
      <c r="O13" s="48">
        <v>278.82</v>
      </c>
      <c r="P13" s="48">
        <v>266.32</v>
      </c>
      <c r="Q13" s="48">
        <v>244.35</v>
      </c>
      <c r="R13" s="48">
        <v>295.37</v>
      </c>
      <c r="S13" s="48">
        <v>304.04</v>
      </c>
      <c r="T13" s="48">
        <v>323.05</v>
      </c>
      <c r="U13" s="48">
        <v>292.6</v>
      </c>
      <c r="V13" s="48" t="e">
        <v>#REF!</v>
      </c>
      <c r="W13" s="48" t="e">
        <v>#REF!</v>
      </c>
      <c r="X13" s="48" t="e">
        <v>#REF!</v>
      </c>
      <c r="Y13" s="48" t="e">
        <v>#REF!</v>
      </c>
      <c r="Z13" s="48">
        <v>265.349165858</v>
      </c>
      <c r="AA13" s="49" t="e">
        <f>AVERAGE(O13:Z13)</f>
        <v>#REF!</v>
      </c>
      <c r="AB13" s="48">
        <v>245.512083333</v>
      </c>
      <c r="AC13" s="48" t="e">
        <v>#REF!</v>
      </c>
      <c r="AD13" s="48">
        <v>216.736071026</v>
      </c>
      <c r="AE13" s="48">
        <v>220.103883388</v>
      </c>
      <c r="AF13" s="48" t="e">
        <v>#REF!</v>
      </c>
      <c r="AG13" s="48">
        <v>240.383957947</v>
      </c>
      <c r="AH13" s="48">
        <v>247.56502454158328</v>
      </c>
      <c r="AI13" s="48">
        <v>260.51040881191665</v>
      </c>
      <c r="AJ13" s="48">
        <v>258.270795539</v>
      </c>
      <c r="AK13" s="48">
        <v>239.429504876</v>
      </c>
      <c r="AL13" s="48">
        <v>234.072469789</v>
      </c>
      <c r="AM13" s="48">
        <v>234.770650711</v>
      </c>
      <c r="AN13" s="49" t="e">
        <f>AVERAGE(AB13:AM13)</f>
        <v>#REF!</v>
      </c>
      <c r="AO13" s="48">
        <v>234.362465008</v>
      </c>
      <c r="AP13" s="48">
        <v>239.811461039</v>
      </c>
      <c r="AQ13" s="48">
        <v>245.20517077</v>
      </c>
      <c r="AR13" s="48">
        <v>245.846888342</v>
      </c>
      <c r="AS13" s="48">
        <v>245.42951712</v>
      </c>
      <c r="AT13" s="48">
        <v>243.363385417</v>
      </c>
      <c r="AU13" s="48">
        <v>238.62</v>
      </c>
      <c r="AV13" s="48">
        <v>244.92</v>
      </c>
      <c r="AW13" s="48">
        <v>248.65</v>
      </c>
      <c r="AX13" s="48">
        <v>242.28</v>
      </c>
      <c r="AY13" s="48">
        <v>255.36</v>
      </c>
      <c r="AZ13" s="48">
        <v>277.44</v>
      </c>
      <c r="BA13" s="49">
        <f>AVERAGE(AO13:AZ13)</f>
        <v>246.77407397466672</v>
      </c>
      <c r="BB13" s="48">
        <v>317.26</v>
      </c>
      <c r="BC13" s="48">
        <v>320.77</v>
      </c>
      <c r="BD13" s="48">
        <v>326.47</v>
      </c>
      <c r="BE13" s="48">
        <v>312.4</v>
      </c>
      <c r="BF13" s="48">
        <v>316.52</v>
      </c>
      <c r="BG13" s="48">
        <v>287.59</v>
      </c>
      <c r="BH13" s="48">
        <v>287.59</v>
      </c>
      <c r="BI13" s="48">
        <v>295</v>
      </c>
      <c r="BJ13" s="48">
        <v>287.59</v>
      </c>
      <c r="BK13" s="48">
        <v>286.38</v>
      </c>
      <c r="BL13" s="48"/>
      <c r="BM13" s="48">
        <f>AVERAGE($AZ13:$BF13)*'Feed price forecasts'!H35/100</f>
        <v>278.6100282379554</v>
      </c>
      <c r="BN13" s="48">
        <f>AVERAGE($AZ13:$BF13)*'Feed price forecasts'!I35/100</f>
        <v>280.5189472094544</v>
      </c>
      <c r="BO13" s="48">
        <f>AVERAGE($AZ13:$BF13)*'Feed price forecasts'!J35/100</f>
        <v>282.8872455697157</v>
      </c>
      <c r="BP13" s="48">
        <f>AVERAGE($AZ13:$BF13)*'Feed price forecasts'!K35/100</f>
        <v>285.18402282200225</v>
      </c>
      <c r="BQ13" s="48">
        <f>AVERAGE($AZ13:$BF13)*'Feed price forecasts'!L35/100</f>
        <v>286.4058083909867</v>
      </c>
      <c r="BR13" s="48">
        <f>AVERAGE($AZ13:$BF13)*'Feed price forecasts'!M35/100</f>
        <v>271.21556450013975</v>
      </c>
    </row>
    <row r="14" spans="14:53" ht="15">
      <c r="N14" s="49"/>
      <c r="O14" s="48"/>
      <c r="P14" s="48"/>
      <c r="Q14" s="48"/>
      <c r="R14" s="48"/>
      <c r="S14" s="48"/>
      <c r="T14" s="48"/>
      <c r="U14" s="48"/>
      <c r="V14" s="48"/>
      <c r="W14" s="48"/>
      <c r="AA14" s="49"/>
      <c r="AN14" s="49"/>
      <c r="BA14" s="49"/>
    </row>
    <row r="15" spans="1:70" ht="15">
      <c r="A15" s="1" t="s">
        <v>137</v>
      </c>
      <c r="N15" s="49" t="e">
        <f>#REF!</f>
        <v>#REF!</v>
      </c>
      <c r="O15" s="48">
        <v>211.83</v>
      </c>
      <c r="P15" s="48">
        <v>200.38</v>
      </c>
      <c r="Q15" s="48">
        <v>215.97</v>
      </c>
      <c r="R15" s="48">
        <v>226.38</v>
      </c>
      <c r="S15" s="48">
        <v>228.55</v>
      </c>
      <c r="T15" s="48">
        <v>221.9</v>
      </c>
      <c r="U15" s="48">
        <v>219.3</v>
      </c>
      <c r="V15" s="48" t="e">
        <v>#REF!</v>
      </c>
      <c r="W15" s="48" t="e">
        <v>#REF!</v>
      </c>
      <c r="X15" s="48" t="e">
        <v>#REF!</v>
      </c>
      <c r="Y15" s="48" t="e">
        <v>#REF!</v>
      </c>
      <c r="Z15" s="48">
        <v>216.8169831585</v>
      </c>
      <c r="AA15" s="49" t="e">
        <f>AVERAGE(O15:Z15)</f>
        <v>#REF!</v>
      </c>
      <c r="AB15" s="48">
        <v>199.668441622</v>
      </c>
      <c r="AC15" s="48" t="e">
        <v>#REF!</v>
      </c>
      <c r="AD15" s="48">
        <v>170.512831832</v>
      </c>
      <c r="AE15" s="48">
        <v>175.571601621</v>
      </c>
      <c r="AF15" s="48" t="e">
        <v>#REF!</v>
      </c>
      <c r="AG15" s="48">
        <v>194.91580446249998</v>
      </c>
      <c r="AH15" s="48">
        <v>197.65807912845833</v>
      </c>
      <c r="AI15" s="48">
        <v>208.099731673375</v>
      </c>
      <c r="AJ15" s="48">
        <v>201.8480469505</v>
      </c>
      <c r="AK15" s="48">
        <v>189.43048531350001</v>
      </c>
      <c r="AL15" s="48">
        <v>181.29014285699998</v>
      </c>
      <c r="AM15" s="48">
        <v>180.106111822</v>
      </c>
      <c r="AN15" s="49" t="e">
        <f>AVERAGE(AB15:AM15)</f>
        <v>#REF!</v>
      </c>
      <c r="AO15" s="48">
        <v>182.069791667</v>
      </c>
      <c r="AP15" s="48">
        <v>186.6898696275</v>
      </c>
      <c r="AQ15" s="48">
        <v>191.45245419550002</v>
      </c>
      <c r="AR15" s="48">
        <v>192.030547919</v>
      </c>
      <c r="AS15" s="48">
        <v>194.180951221</v>
      </c>
      <c r="AT15" s="48">
        <v>194.30948097599997</v>
      </c>
      <c r="AU15" s="48">
        <v>193.01999999999998</v>
      </c>
      <c r="AV15" s="48">
        <v>192.88</v>
      </c>
      <c r="AW15" s="48">
        <v>197.53</v>
      </c>
      <c r="AX15" s="48">
        <v>196.31</v>
      </c>
      <c r="AY15" s="48">
        <v>210.39</v>
      </c>
      <c r="AZ15" s="48">
        <v>231.60500000000002</v>
      </c>
      <c r="BA15" s="49">
        <f>AVERAGE(AO15:AZ15)</f>
        <v>196.8723413005</v>
      </c>
      <c r="BB15" s="48">
        <v>265.615</v>
      </c>
      <c r="BC15" s="48">
        <v>246.66</v>
      </c>
      <c r="BD15" s="48">
        <v>276.95000000000005</v>
      </c>
      <c r="BE15" s="48">
        <v>264.385</v>
      </c>
      <c r="BF15" s="48">
        <v>265.56</v>
      </c>
      <c r="BG15" s="48">
        <v>241.045</v>
      </c>
      <c r="BH15" s="48">
        <v>241.045</v>
      </c>
      <c r="BI15" s="48">
        <v>248.245</v>
      </c>
      <c r="BJ15" s="48">
        <v>241.045</v>
      </c>
      <c r="BK15" s="48">
        <v>240.13</v>
      </c>
      <c r="BL15" s="48"/>
      <c r="BM15" s="48">
        <f>AVERAGE($AZ15:$BF15)*'Feed price forecasts'!H37/100</f>
        <v>230.97046529369246</v>
      </c>
      <c r="BN15" s="48">
        <f>AVERAGE($AZ15:$BF15)*'Feed price forecasts'!I37/100</f>
        <v>232.402119889219</v>
      </c>
      <c r="BO15" s="48">
        <f>AVERAGE($AZ15:$BF15)*'Feed price forecasts'!J37/100</f>
        <v>234.2644423986411</v>
      </c>
      <c r="BP15" s="48">
        <f>AVERAGE($AZ15:$BF15)*'Feed price forecasts'!K37/100</f>
        <v>236.11440160915507</v>
      </c>
      <c r="BQ15" s="48">
        <f>AVERAGE($AZ15:$BF15)*'Feed price forecasts'!L37/100</f>
        <v>237.03610247597763</v>
      </c>
      <c r="BR15" s="48">
        <f>AVERAGE($AZ15:$BF15)*'Feed price forecasts'!M37/100</f>
        <v>225.089157913942</v>
      </c>
    </row>
    <row r="17" ht="15">
      <c r="A17" s="2" t="s">
        <v>138</v>
      </c>
    </row>
    <row r="19" spans="1:70" ht="15">
      <c r="A19" s="1" t="s">
        <v>139</v>
      </c>
      <c r="B19" s="7">
        <v>7.25</v>
      </c>
      <c r="C19" s="7">
        <v>7.25</v>
      </c>
      <c r="D19" s="7">
        <v>7.25</v>
      </c>
      <c r="E19" s="7">
        <v>7.25</v>
      </c>
      <c r="F19" s="7">
        <v>7.5</v>
      </c>
      <c r="G19" s="7">
        <v>7.5</v>
      </c>
      <c r="H19" s="7">
        <v>7.75</v>
      </c>
      <c r="I19" s="7">
        <v>7.75</v>
      </c>
      <c r="J19" s="7">
        <v>7.75</v>
      </c>
      <c r="K19" s="7">
        <v>7.75</v>
      </c>
      <c r="L19" s="7">
        <v>7.75</v>
      </c>
      <c r="M19" s="7">
        <v>7.5</v>
      </c>
      <c r="N19" s="50">
        <f>AVERAGE(B19:M19)</f>
        <v>7.520833333333333</v>
      </c>
      <c r="O19" s="7">
        <v>7.5</v>
      </c>
      <c r="P19" s="7">
        <v>7.25</v>
      </c>
      <c r="Q19" s="7">
        <v>7.25</v>
      </c>
      <c r="R19" s="7">
        <v>7</v>
      </c>
      <c r="S19" s="7">
        <v>7</v>
      </c>
      <c r="T19" s="7">
        <v>7</v>
      </c>
      <c r="U19" s="7">
        <v>7</v>
      </c>
      <c r="V19" s="7">
        <v>7</v>
      </c>
      <c r="W19" s="7">
        <v>7</v>
      </c>
      <c r="X19" s="7">
        <v>6.612903225806452</v>
      </c>
      <c r="Y19" s="7">
        <v>5.3</v>
      </c>
      <c r="Z19" s="7">
        <v>4.096774193548387</v>
      </c>
      <c r="AA19" s="50">
        <f>AVERAGE(O19:Z19)</f>
        <v>6.6674731182795695</v>
      </c>
      <c r="AB19" s="7">
        <v>3.6129032258064515</v>
      </c>
      <c r="AC19" s="7">
        <v>3.071428571428571</v>
      </c>
      <c r="AD19" s="7">
        <v>2.564516129032258</v>
      </c>
      <c r="AE19" s="7">
        <v>2.5</v>
      </c>
      <c r="AF19" s="7">
        <v>2.5</v>
      </c>
      <c r="AG19" s="7">
        <v>2.5</v>
      </c>
      <c r="AH19" s="7">
        <v>2.5</v>
      </c>
      <c r="AI19" s="7">
        <v>2.5</v>
      </c>
      <c r="AJ19" s="7">
        <v>2.5</v>
      </c>
      <c r="AK19" s="7">
        <v>2.5</v>
      </c>
      <c r="AL19" s="7">
        <v>2.5</v>
      </c>
      <c r="AM19" s="7">
        <v>2.5</v>
      </c>
      <c r="AN19" s="50">
        <f>AVERAGE(AB19:AM19)</f>
        <v>2.64573732718894</v>
      </c>
      <c r="AO19" s="7">
        <v>2.64573732718894</v>
      </c>
      <c r="AP19" s="7">
        <v>2.5</v>
      </c>
      <c r="AQ19" s="7">
        <v>2.5</v>
      </c>
      <c r="AR19" s="7">
        <v>2.5</v>
      </c>
      <c r="AS19" s="7">
        <v>2.5</v>
      </c>
      <c r="AT19" s="7">
        <v>2.5</v>
      </c>
      <c r="AU19" s="7">
        <v>2.5</v>
      </c>
      <c r="AV19" s="7">
        <v>2.5</v>
      </c>
      <c r="AW19" s="7">
        <v>2.5</v>
      </c>
      <c r="AX19" s="7">
        <v>2.5</v>
      </c>
      <c r="AY19" s="7">
        <v>2.5</v>
      </c>
      <c r="AZ19" s="7">
        <v>2.5</v>
      </c>
      <c r="BA19" s="50">
        <f>AVERAGE(AO19:AZ19)</f>
        <v>2.512144777265745</v>
      </c>
      <c r="BB19" s="7">
        <v>2.5</v>
      </c>
      <c r="BC19" s="7">
        <v>2.5</v>
      </c>
      <c r="BD19" s="7">
        <v>2.5</v>
      </c>
      <c r="BE19" s="7">
        <v>2.5</v>
      </c>
      <c r="BF19" s="7">
        <v>2.5</v>
      </c>
      <c r="BG19" s="7">
        <v>2.5</v>
      </c>
      <c r="BH19" s="7">
        <v>2.5</v>
      </c>
      <c r="BI19" s="7">
        <v>2.5</v>
      </c>
      <c r="BJ19" s="7">
        <v>2.5</v>
      </c>
      <c r="BK19" s="7">
        <v>2.5</v>
      </c>
      <c r="BL19" s="7"/>
      <c r="BM19" s="7">
        <v>2.5</v>
      </c>
      <c r="BN19" s="7">
        <f>BM19</f>
        <v>2.5</v>
      </c>
      <c r="BO19" s="7">
        <f>BN19</f>
        <v>2.5</v>
      </c>
      <c r="BP19" s="7">
        <f>BO19</f>
        <v>2.5</v>
      </c>
      <c r="BQ19" s="7">
        <f>BP19</f>
        <v>2.5</v>
      </c>
      <c r="BR19" s="7">
        <f>BQ19</f>
        <v>2.5</v>
      </c>
    </row>
    <row r="20" spans="25:70" ht="15">
      <c r="Y20" s="7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ht="15">
      <c r="A21" s="1" t="s">
        <v>140</v>
      </c>
      <c r="B21" s="7">
        <v>5.61</v>
      </c>
      <c r="C21" s="7">
        <v>5.73</v>
      </c>
      <c r="D21" s="7">
        <v>5.73</v>
      </c>
      <c r="E21" s="7">
        <v>5.9</v>
      </c>
      <c r="F21" s="7">
        <v>5.82</v>
      </c>
      <c r="G21" s="7">
        <v>6.1</v>
      </c>
      <c r="H21" s="7">
        <v>6.33</v>
      </c>
      <c r="I21" s="7">
        <v>6.28</v>
      </c>
      <c r="J21" s="7">
        <v>6.19</v>
      </c>
      <c r="K21" s="7">
        <v>6.23</v>
      </c>
      <c r="L21" s="7">
        <v>6.02</v>
      </c>
      <c r="M21" s="7">
        <v>5.97</v>
      </c>
      <c r="N21" s="50">
        <f>AVERAGE(B21:M21)</f>
        <v>5.9925</v>
      </c>
      <c r="O21" s="7">
        <v>5.9</v>
      </c>
      <c r="P21" s="7">
        <v>5.68</v>
      </c>
      <c r="Q21" s="7">
        <v>5.7</v>
      </c>
      <c r="R21" s="7">
        <v>5.85</v>
      </c>
      <c r="S21" s="7">
        <v>6.11</v>
      </c>
      <c r="T21" s="7">
        <v>6.4</v>
      </c>
      <c r="U21" s="7">
        <v>6.37</v>
      </c>
      <c r="V21" s="7">
        <v>6.09</v>
      </c>
      <c r="W21" s="7">
        <v>5.84</v>
      </c>
      <c r="X21" s="7">
        <v>5.88</v>
      </c>
      <c r="Y21" s="7">
        <v>5.47</v>
      </c>
      <c r="Z21" s="7">
        <v>5.28</v>
      </c>
      <c r="AA21" s="50">
        <f>AVERAGE(O21:Z21)</f>
        <v>5.880833333333334</v>
      </c>
      <c r="AB21" s="7">
        <v>4.94</v>
      </c>
      <c r="AC21" s="7">
        <v>4.97</v>
      </c>
      <c r="AD21" s="7">
        <v>4.95</v>
      </c>
      <c r="AE21" s="7">
        <v>4.87</v>
      </c>
      <c r="AF21" s="7">
        <v>4.93</v>
      </c>
      <c r="AG21" s="7">
        <v>5.54</v>
      </c>
      <c r="AH21" s="7">
        <v>5.68</v>
      </c>
      <c r="AI21" s="7">
        <v>5.72</v>
      </c>
      <c r="AJ21" s="7">
        <v>5.69</v>
      </c>
      <c r="AK21" s="7">
        <v>5.67</v>
      </c>
      <c r="AL21" s="7">
        <v>5.71</v>
      </c>
      <c r="AM21" s="7">
        <v>5.67</v>
      </c>
      <c r="AN21" s="50">
        <f>AVERAGE(AB21:AM21)</f>
        <v>5.3616666666666655</v>
      </c>
      <c r="AO21" s="7">
        <v>5.3616666666666655</v>
      </c>
      <c r="AP21" s="7">
        <v>5.56</v>
      </c>
      <c r="AQ21" s="7">
        <v>5.5</v>
      </c>
      <c r="AR21" s="7">
        <v>5.5</v>
      </c>
      <c r="AS21" s="7">
        <v>5.5</v>
      </c>
      <c r="AT21" s="7">
        <v>5.38</v>
      </c>
      <c r="AU21" s="7">
        <v>5.35</v>
      </c>
      <c r="AV21" s="7">
        <v>5.24</v>
      </c>
      <c r="AW21" s="7">
        <v>5.07</v>
      </c>
      <c r="AX21" s="7">
        <v>5.04</v>
      </c>
      <c r="AY21" s="7">
        <v>4.86</v>
      </c>
      <c r="AZ21" s="7">
        <v>4.73</v>
      </c>
      <c r="BA21" s="50">
        <f>AVERAGE(AO21:AZ21)</f>
        <v>5.257638888888889</v>
      </c>
      <c r="BB21" s="7">
        <v>4.76</v>
      </c>
      <c r="BC21" s="7">
        <v>5.2075000000000005</v>
      </c>
      <c r="BD21" s="7">
        <v>5.1</v>
      </c>
      <c r="BE21" s="7">
        <v>5.1</v>
      </c>
      <c r="BF21" s="7">
        <v>5.1</v>
      </c>
      <c r="BG21" s="7">
        <v>5.1</v>
      </c>
      <c r="BH21" s="7">
        <v>5.1</v>
      </c>
      <c r="BI21" s="7">
        <v>5.1</v>
      </c>
      <c r="BJ21" s="7">
        <v>5.1</v>
      </c>
      <c r="BK21" s="7">
        <v>5.1</v>
      </c>
      <c r="BL21" s="7"/>
      <c r="BM21" s="7">
        <v>5.1</v>
      </c>
      <c r="BN21" s="7">
        <f>BM21</f>
        <v>5.1</v>
      </c>
      <c r="BO21" s="7">
        <f>BN21</f>
        <v>5.1</v>
      </c>
      <c r="BP21" s="7">
        <f>BO21</f>
        <v>5.1</v>
      </c>
      <c r="BQ21" s="7">
        <f>BP21</f>
        <v>5.1</v>
      </c>
      <c r="BR21" s="7">
        <f>BQ21</f>
        <v>5.1</v>
      </c>
    </row>
    <row r="24" ht="15"/>
    <row r="25" ht="15"/>
    <row r="26" ht="15"/>
    <row r="27" ht="1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="75" zoomScaleNormal="75" zoomScalePageLayoutView="0" workbookViewId="0" topLeftCell="A13">
      <selection activeCell="E33" sqref="E33"/>
    </sheetView>
  </sheetViews>
  <sheetFormatPr defaultColWidth="9.140625" defaultRowHeight="12.75"/>
  <cols>
    <col min="1" max="1" width="18.00390625" style="1" customWidth="1"/>
    <col min="2" max="2" width="25.57421875" style="1" customWidth="1"/>
    <col min="3" max="3" width="14.140625" style="1" customWidth="1"/>
    <col min="4" max="4" width="9.140625" style="1" customWidth="1"/>
    <col min="5" max="5" width="13.7109375" style="1" customWidth="1"/>
    <col min="6" max="6" width="9.28125" style="1" bestFit="1" customWidth="1"/>
    <col min="7" max="7" width="14.710937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9.28125" style="1" bestFit="1" customWidth="1"/>
    <col min="15" max="16" width="9.140625" style="1" customWidth="1"/>
    <col min="17" max="17" width="9.28125" style="1" bestFit="1" customWidth="1"/>
    <col min="18" max="16384" width="9.140625" style="1" customWidth="1"/>
  </cols>
  <sheetData>
    <row r="1" ht="18">
      <c r="A1" s="3" t="s">
        <v>153</v>
      </c>
    </row>
    <row r="2" ht="15">
      <c r="C2" s="2"/>
    </row>
    <row r="4" spans="4:8" ht="15">
      <c r="D4" s="4" t="s">
        <v>5</v>
      </c>
      <c r="E4" s="5"/>
      <c r="F4" s="4" t="s">
        <v>0</v>
      </c>
      <c r="G4" s="5"/>
      <c r="H4" s="4" t="s">
        <v>1</v>
      </c>
    </row>
    <row r="5" spans="4:7" ht="15">
      <c r="D5" s="2"/>
      <c r="F5" s="2"/>
      <c r="G5" s="2"/>
    </row>
    <row r="6" spans="1:8" ht="15">
      <c r="A6" s="1" t="s">
        <v>2</v>
      </c>
      <c r="D6" s="16">
        <v>0.4494</v>
      </c>
      <c r="E6" s="16"/>
      <c r="F6" s="16">
        <v>0.4518</v>
      </c>
      <c r="G6" s="16"/>
      <c r="H6" s="16">
        <v>0.4076</v>
      </c>
    </row>
    <row r="7" spans="1:8" ht="15">
      <c r="A7" s="1" t="s">
        <v>3</v>
      </c>
      <c r="D7" s="16">
        <v>0.1</v>
      </c>
      <c r="E7" s="16"/>
      <c r="F7" s="16">
        <v>0.2</v>
      </c>
      <c r="G7" s="16"/>
      <c r="H7" s="16">
        <v>0.2</v>
      </c>
    </row>
    <row r="8" spans="1:8" ht="15">
      <c r="A8" s="1" t="s">
        <v>35</v>
      </c>
      <c r="D8" s="16">
        <v>0.1561</v>
      </c>
      <c r="E8" s="16"/>
      <c r="F8" s="16">
        <v>0.2</v>
      </c>
      <c r="G8" s="16"/>
      <c r="H8" s="16">
        <v>0.1523</v>
      </c>
    </row>
    <row r="9" spans="1:8" ht="15">
      <c r="A9" s="1" t="s">
        <v>36</v>
      </c>
      <c r="D9" s="16">
        <f>D10-D6-D7-D8</f>
        <v>0.2945</v>
      </c>
      <c r="E9" s="16"/>
      <c r="F9" s="16">
        <f>F10-F6-F7-F8</f>
        <v>0.1482</v>
      </c>
      <c r="G9" s="16"/>
      <c r="H9" s="16">
        <f>H10-H6-H7-H8</f>
        <v>0.24010000000000004</v>
      </c>
    </row>
    <row r="10" spans="1:8" ht="15">
      <c r="A10" s="1" t="s">
        <v>4</v>
      </c>
      <c r="D10" s="16">
        <v>1</v>
      </c>
      <c r="E10" s="16"/>
      <c r="F10" s="16">
        <v>1</v>
      </c>
      <c r="G10" s="16"/>
      <c r="H10" s="16">
        <v>1</v>
      </c>
    </row>
    <row r="13" spans="1:8" ht="15">
      <c r="A13" s="1" t="s">
        <v>40</v>
      </c>
      <c r="D13" s="16">
        <f>(D6+D7+D8)</f>
        <v>0.7055</v>
      </c>
      <c r="E13" s="16"/>
      <c r="F13" s="16">
        <f>(F6+F7+F8)</f>
        <v>0.8517999999999999</v>
      </c>
      <c r="G13" s="16"/>
      <c r="H13" s="16">
        <f>(H6+H7+H8)</f>
        <v>0.7599</v>
      </c>
    </row>
    <row r="16" ht="18">
      <c r="A16" s="3" t="s">
        <v>141</v>
      </c>
    </row>
    <row r="17" ht="15">
      <c r="A17" s="2" t="s">
        <v>34</v>
      </c>
    </row>
    <row r="19" spans="5:13" ht="15">
      <c r="E19" s="6" t="s">
        <v>168</v>
      </c>
      <c r="H19" s="6">
        <v>40848</v>
      </c>
      <c r="I19" s="6">
        <v>40909</v>
      </c>
      <c r="J19" s="6">
        <v>40969</v>
      </c>
      <c r="K19" s="6">
        <v>41030</v>
      </c>
      <c r="L19" s="6">
        <v>41091</v>
      </c>
      <c r="M19" s="6">
        <v>41214</v>
      </c>
    </row>
    <row r="20" spans="5:8" ht="15">
      <c r="E20" s="2"/>
      <c r="H20" s="6"/>
    </row>
    <row r="21" spans="1:16" ht="15">
      <c r="A21" s="2" t="s">
        <v>41</v>
      </c>
      <c r="E21" s="73">
        <v>181.08333333333334</v>
      </c>
      <c r="F21" s="48"/>
      <c r="H21" s="48">
        <v>156.5</v>
      </c>
      <c r="I21" s="48">
        <v>158</v>
      </c>
      <c r="J21" s="48">
        <v>160.5</v>
      </c>
      <c r="K21" s="48">
        <v>163.25</v>
      </c>
      <c r="L21" s="48">
        <v>164.25</v>
      </c>
      <c r="M21" s="48">
        <v>148.2</v>
      </c>
      <c r="P21" s="23"/>
    </row>
    <row r="22" spans="5:9" ht="15">
      <c r="E22" s="48"/>
      <c r="F22" s="48"/>
      <c r="H22" s="48"/>
      <c r="I22" s="48"/>
    </row>
    <row r="23" spans="1:16" ht="15">
      <c r="A23" s="2" t="s">
        <v>42</v>
      </c>
      <c r="C23" s="17">
        <f>ROUND(E21-E23,0)</f>
        <v>11</v>
      </c>
      <c r="E23" s="73">
        <v>169.75</v>
      </c>
      <c r="F23" s="48"/>
      <c r="H23" s="48">
        <f aca="true" t="shared" si="0" ref="H23:M23">H21-$C23</f>
        <v>145.5</v>
      </c>
      <c r="I23" s="48">
        <f t="shared" si="0"/>
        <v>147</v>
      </c>
      <c r="J23" s="48">
        <f t="shared" si="0"/>
        <v>149.5</v>
      </c>
      <c r="K23" s="48">
        <f t="shared" si="0"/>
        <v>152.25</v>
      </c>
      <c r="L23" s="48">
        <f t="shared" si="0"/>
        <v>153.25</v>
      </c>
      <c r="M23" s="48">
        <f t="shared" si="0"/>
        <v>137.2</v>
      </c>
      <c r="P23" s="23"/>
    </row>
    <row r="24" spans="1:9" ht="15">
      <c r="A24" s="2"/>
      <c r="E24" s="48"/>
      <c r="F24" s="48"/>
      <c r="H24" s="48"/>
      <c r="I24" s="48"/>
    </row>
    <row r="25" spans="1:16" ht="15">
      <c r="A25" s="2" t="s">
        <v>43</v>
      </c>
      <c r="E25" s="73">
        <v>320.55</v>
      </c>
      <c r="F25" s="48"/>
      <c r="H25" s="48">
        <v>316.8868432359105</v>
      </c>
      <c r="I25" s="48">
        <v>318.6607945882294</v>
      </c>
      <c r="J25" s="48">
        <v>318.7790580117174</v>
      </c>
      <c r="K25" s="48">
        <v>317.83295062381393</v>
      </c>
      <c r="L25" s="48">
        <v>318.8381897234613</v>
      </c>
      <c r="M25" s="48">
        <v>318.1286091825337</v>
      </c>
      <c r="P25" s="23"/>
    </row>
    <row r="28" ht="18">
      <c r="A28" s="3" t="s">
        <v>146</v>
      </c>
    </row>
    <row r="30" spans="5:13" ht="15">
      <c r="E30" s="6" t="str">
        <f>E19</f>
        <v>Apr 11:Sep 11 ave</v>
      </c>
      <c r="H30" s="6">
        <f>H19</f>
        <v>40848</v>
      </c>
      <c r="I30" s="6">
        <f>I19</f>
        <v>40909</v>
      </c>
      <c r="J30" s="6">
        <f>J19</f>
        <v>40969</v>
      </c>
      <c r="K30" s="6">
        <v>41030</v>
      </c>
      <c r="L30" s="6">
        <v>41091</v>
      </c>
      <c r="M30" s="6">
        <v>41214</v>
      </c>
    </row>
    <row r="31" spans="5:6" ht="15">
      <c r="E31" s="4" t="s">
        <v>144</v>
      </c>
      <c r="F31" s="4" t="s">
        <v>145</v>
      </c>
    </row>
    <row r="32" spans="5:6" ht="15">
      <c r="E32" s="4"/>
      <c r="F32" s="4"/>
    </row>
    <row r="33" spans="1:25" ht="15">
      <c r="A33" s="1" t="s">
        <v>37</v>
      </c>
      <c r="E33" s="7">
        <f>(E21*'Feed price forecasts'!$D$6+'Feed price forecasts'!E23*'Feed price forecasts'!$D$7+E25*'Feed price forecasts'!$D$8)/'Feed price forecasts'!$D$13</f>
        <v>210.33551381998586</v>
      </c>
      <c r="F33" s="1">
        <v>100</v>
      </c>
      <c r="H33" s="7">
        <f>(('Feed price forecasts'!H21-'Feed price forecasts'!$E21)*'Feed price forecasts'!$D$6+('Feed price forecasts'!H23-'Feed price forecasts'!$E23)*'Feed price forecasts'!$D$7+('Feed price forecasts'!H25-'Feed price forecasts'!$E25)*'Feed price forecasts'!$D$8+$E33)/$E33*100</f>
        <v>93.32277820525624</v>
      </c>
      <c r="I33" s="7">
        <f>(('Feed price forecasts'!I21-'Feed price forecasts'!$E21)*'Feed price forecasts'!$D$6+('Feed price forecasts'!I23-'Feed price forecasts'!$E23)*'Feed price forecasts'!$D$7+('Feed price forecasts'!I25-'Feed price forecasts'!$E25)*'Feed price forecasts'!$D$8+$E33)/$E33*100</f>
        <v>93.84623417619574</v>
      </c>
      <c r="J33" s="7">
        <f>(('Feed price forecasts'!J21-'Feed price forecasts'!$E21)*'Feed price forecasts'!$D$6+('Feed price forecasts'!J23-'Feed price forecasts'!$E23)*'Feed price forecasts'!$D$7+('Feed price forecasts'!J25-'Feed price forecasts'!$E25)*'Feed price forecasts'!$D$8+$E33)/$E33*100</f>
        <v>94.50801539189561</v>
      </c>
      <c r="K33" s="7">
        <f>(('Feed price forecasts'!K21-'Feed price forecasts'!$E21)*'Feed price forecasts'!$D$6+('Feed price forecasts'!K23-'Feed price forecasts'!$E23)*'Feed price forecasts'!$D$7+('Feed price forecasts'!K25-'Feed price forecasts'!$E25)*'Feed price forecasts'!$D$8+$E33)/$E33*100</f>
        <v>95.15610501403849</v>
      </c>
      <c r="L33" s="7">
        <f>(('Feed price forecasts'!L21-'Feed price forecasts'!$E21)*'Feed price forecasts'!$D$6+('Feed price forecasts'!L23-'Feed price forecasts'!$E23)*'Feed price forecasts'!$D$7+('Feed price forecasts'!L25-'Feed price forecasts'!$E25)*'Feed price forecasts'!$D$8+$E33)/$E33*100</f>
        <v>95.4919103236732</v>
      </c>
      <c r="M33" s="7">
        <f>(('Feed price forecasts'!M21-'Feed price forecasts'!$E21)*'Feed price forecasts'!$D$6+('Feed price forecasts'!M23-'Feed price forecasts'!$E23)*'Feed price forecasts'!$D$7+('Feed price forecasts'!M25-'Feed price forecasts'!$E25)*'Feed price forecasts'!$D$8+$E33)/$E33*100</f>
        <v>91.24696121342436</v>
      </c>
      <c r="S33" s="19"/>
      <c r="Y33" s="19"/>
    </row>
    <row r="34" spans="19:25" ht="15">
      <c r="S34" s="20"/>
      <c r="Y34" s="20"/>
    </row>
    <row r="35" spans="1:25" ht="15">
      <c r="A35" s="1" t="s">
        <v>38</v>
      </c>
      <c r="E35" s="7">
        <f>(E21*'Feed price forecasts'!$F$6+'Feed price forecasts'!E23*'Feed price forecasts'!$F$7+E25*'Feed price forecasts'!$F$8)/'Feed price forecasts'!$F$13</f>
        <v>211.16864287391408</v>
      </c>
      <c r="F35" s="1">
        <v>100</v>
      </c>
      <c r="H35" s="7">
        <f>(('Feed price forecasts'!H21-'Feed price forecasts'!$E21)*'Feed price forecasts'!$F$6+('Feed price forecasts'!H23-'Feed price forecasts'!$E23)*'Feed price forecasts'!$F$7+('Feed price forecasts'!H25-'Feed price forecasts'!$E25)*'Feed price forecasts'!$F$8+$E35)/$E35*100</f>
        <v>92.09665737976877</v>
      </c>
      <c r="I35" s="7">
        <f>(('Feed price forecasts'!I21-'Feed price forecasts'!$E21)*'Feed price forecasts'!$F$6+('Feed price forecasts'!I23-'Feed price forecasts'!$E23)*'Feed price forecasts'!$F$7+('Feed price forecasts'!I25-'Feed price forecasts'!$E25)*'Feed price forecasts'!$F$8+$E35)/$E35*100</f>
        <v>92.72766502007427</v>
      </c>
      <c r="J35" s="7">
        <f>(('Feed price forecasts'!J21-'Feed price forecasts'!$E21)*'Feed price forecasts'!$F$6+('Feed price forecasts'!J23-'Feed price forecasts'!$E23)*'Feed price forecasts'!$F$7+('Feed price forecasts'!J25-'Feed price forecasts'!$E25)*'Feed price forecasts'!$F$8+$E35)/$E35*100</f>
        <v>93.51052400055492</v>
      </c>
      <c r="K35" s="7">
        <f>(('Feed price forecasts'!K21-'Feed price forecasts'!$E21)*'Feed price forecasts'!$F$6+('Feed price forecasts'!K23-'Feed price forecasts'!$E23)*'Feed price forecasts'!$F$7+('Feed price forecasts'!K25-'Feed price forecasts'!$E25)*'Feed price forecasts'!$F$8+$E35)/$E35*100</f>
        <v>94.26974113648954</v>
      </c>
      <c r="L35" s="7">
        <f>(('Feed price forecasts'!L21-'Feed price forecasts'!$E21)*'Feed price forecasts'!$F$6+('Feed price forecasts'!L23-'Feed price forecasts'!$E23)*'Feed price forecasts'!$F$7+('Feed price forecasts'!L25-'Feed price forecasts'!$E25)*'Feed price forecasts'!$F$8+$E35)/$E35*100</f>
        <v>94.6736116204414</v>
      </c>
      <c r="M35" s="7">
        <f>(('Feed price forecasts'!M21-'Feed price forecasts'!$E21)*'Feed price forecasts'!$F$6+('Feed price forecasts'!M23-'Feed price forecasts'!$E23)*'Feed price forecasts'!$F$7+('Feed price forecasts'!M25-'Feed price forecasts'!$E25)*'Feed price forecasts'!$F$8+$E35)/$E35*100</f>
        <v>89.65236132310602</v>
      </c>
      <c r="S35" s="19"/>
      <c r="Y35" s="19"/>
    </row>
    <row r="36" spans="19:25" ht="15">
      <c r="S36" s="20"/>
      <c r="Y36" s="20"/>
    </row>
    <row r="37" spans="1:25" ht="15">
      <c r="A37" s="1" t="s">
        <v>39</v>
      </c>
      <c r="E37" s="7">
        <f>(E21*'Feed price forecasts'!$H$6+'Feed price forecasts'!E23*'Feed price forecasts'!$H$7+E25*'Feed price forecasts'!$H$8)/'Feed price forecasts'!$H$13</f>
        <v>206.0525485809536</v>
      </c>
      <c r="F37" s="1">
        <v>100</v>
      </c>
      <c r="H37" s="7">
        <f>(('Feed price forecasts'!H21-'Feed price forecasts'!$E21)*'Feed price forecasts'!$H$6+('Feed price forecasts'!H23-'Feed price forecasts'!$E23)*'Feed price forecasts'!$H$7+('Feed price forecasts'!H25-'Feed price forecasts'!$E25)*'Feed price forecasts'!$H$8+$E37)/$E37*100</f>
        <v>92.51255781688322</v>
      </c>
      <c r="I37" s="7">
        <f>(('Feed price forecasts'!I21-'Feed price forecasts'!$E21)*'Feed price forecasts'!$H$6+('Feed price forecasts'!I23-'Feed price forecasts'!$E23)*'Feed price forecasts'!$H$7+('Feed price forecasts'!I25-'Feed price forecasts'!$E25)*'Feed price forecasts'!$H$8+$E37)/$E37*100</f>
        <v>93.0859905645466</v>
      </c>
      <c r="J37" s="7">
        <f>(('Feed price forecasts'!J21-'Feed price forecasts'!$E21)*'Feed price forecasts'!$H$6+('Feed price forecasts'!J23-'Feed price forecasts'!$E23)*'Feed price forecasts'!$H$7+('Feed price forecasts'!J25-'Feed price forecasts'!$E25)*'Feed price forecasts'!$H$8+$E37)/$E37*100</f>
        <v>93.83192238144589</v>
      </c>
      <c r="K37" s="7">
        <f>(('Feed price forecasts'!K21-'Feed price forecasts'!$E21)*'Feed price forecasts'!$H$6+('Feed price forecasts'!K23-'Feed price forecasts'!$E23)*'Feed price forecasts'!$H$7+('Feed price forecasts'!K25-'Feed price forecasts'!$E25)*'Feed price forecasts'!$H$8+$E37)/$E37*100</f>
        <v>94.57290222146105</v>
      </c>
      <c r="L37" s="7">
        <f>(('Feed price forecasts'!L21-'Feed price forecasts'!$E21)*'Feed price forecasts'!$H$6+('Feed price forecasts'!L23-'Feed price forecasts'!$E23)*'Feed price forecasts'!$H$7+('Feed price forecasts'!L25-'Feed price forecasts'!$E25)*'Feed price forecasts'!$H$8+$E37)/$E37*100</f>
        <v>94.94207888057792</v>
      </c>
      <c r="M37" s="7">
        <f>(('Feed price forecasts'!M21-'Feed price forecasts'!$E21)*'Feed price forecasts'!$H$6+('Feed price forecasts'!M23-'Feed price forecasts'!$E23)*'Feed price forecasts'!$H$7+('Feed price forecasts'!M25-'Feed price forecasts'!$E25)*'Feed price forecasts'!$H$8+$E37)/$E37*100</f>
        <v>90.15686793109553</v>
      </c>
      <c r="S37" s="19"/>
      <c r="Y37" s="19"/>
    </row>
    <row r="38" spans="5:27" ht="15">
      <c r="E38" s="7"/>
      <c r="G38" s="7"/>
      <c r="H38" s="20"/>
      <c r="I38" s="7"/>
      <c r="J38" s="20"/>
      <c r="K38" s="7"/>
      <c r="L38" s="7"/>
      <c r="M38" s="7"/>
      <c r="N38" s="20"/>
      <c r="O38" s="7"/>
      <c r="P38" s="7"/>
      <c r="Q38" s="20"/>
      <c r="S38" s="20"/>
      <c r="T38" s="7"/>
      <c r="U38" s="20"/>
      <c r="V38" s="7"/>
      <c r="W38" s="20"/>
      <c r="X38" s="7"/>
      <c r="Y38" s="20"/>
      <c r="Z38" s="7"/>
      <c r="AA38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0:AA53"/>
  <sheetViews>
    <sheetView zoomScalePageLayoutView="0" workbookViewId="0" topLeftCell="A40">
      <selection activeCell="D63" sqref="D63"/>
    </sheetView>
  </sheetViews>
  <sheetFormatPr defaultColWidth="9.140625" defaultRowHeight="12.75"/>
  <cols>
    <col min="6" max="6" width="45.00390625" style="0" customWidth="1"/>
  </cols>
  <sheetData>
    <row r="10" ht="12">
      <c r="AA10">
        <f>136.72-154.86</f>
        <v>-18.140000000000015</v>
      </c>
    </row>
    <row r="29" ht="12">
      <c r="Q29" t="s">
        <v>155</v>
      </c>
    </row>
    <row r="40" spans="6:12" ht="15.75" customHeight="1">
      <c r="F40" s="83" t="s">
        <v>144</v>
      </c>
      <c r="G40" s="82">
        <f>'Feed price forecasts'!H19</f>
        <v>40848</v>
      </c>
      <c r="H40" s="81">
        <f>'Feed price forecasts'!I19</f>
        <v>40909</v>
      </c>
      <c r="I40" s="81">
        <f>'Feed price forecasts'!J19</f>
        <v>40969</v>
      </c>
      <c r="J40" s="81">
        <f>'Feed price forecasts'!K19</f>
        <v>41030</v>
      </c>
      <c r="K40" s="81">
        <f>'Feed price forecasts'!L19</f>
        <v>41091</v>
      </c>
      <c r="L40" s="81">
        <f>'Feed price forecasts'!M19</f>
        <v>41214</v>
      </c>
    </row>
    <row r="41" spans="6:12" ht="15.75" customHeight="1">
      <c r="F41" s="80" t="str">
        <f>'Feed price forecasts'!A21</f>
        <v>Feed wheat prices (LIFFE futures market)</v>
      </c>
      <c r="G41" s="84">
        <f>'Feed price forecasts'!H21</f>
        <v>156.5</v>
      </c>
      <c r="H41" s="85">
        <f>'Feed price forecasts'!I21</f>
        <v>158</v>
      </c>
      <c r="I41" s="85">
        <f>'Feed price forecasts'!J21</f>
        <v>160.5</v>
      </c>
      <c r="J41" s="85">
        <f>'Feed price forecasts'!K21</f>
        <v>163.25</v>
      </c>
      <c r="K41" s="85">
        <f>'Feed price forecasts'!L21</f>
        <v>164.25</v>
      </c>
      <c r="L41" s="85">
        <f>'Feed price forecasts'!M21</f>
        <v>148.2</v>
      </c>
    </row>
    <row r="42" spans="6:12" ht="14.25" customHeight="1">
      <c r="F42" s="80" t="str">
        <f>'Feed price forecasts'!A23&amp;" £"&amp;'Feed price forecasts'!C23</f>
        <v>Feed barley prices  = feed wheat minus £11</v>
      </c>
      <c r="G42" s="84">
        <f>'Feed price forecasts'!H23</f>
        <v>145.5</v>
      </c>
      <c r="H42" s="85">
        <f>'Feed price forecasts'!I23</f>
        <v>147</v>
      </c>
      <c r="I42" s="85">
        <f>'Feed price forecasts'!J23</f>
        <v>149.5</v>
      </c>
      <c r="J42" s="85">
        <f>'Feed price forecasts'!K23</f>
        <v>152.25</v>
      </c>
      <c r="K42" s="85">
        <f>'Feed price forecasts'!L23</f>
        <v>153.25</v>
      </c>
      <c r="L42" s="85">
        <f>'Feed price forecasts'!M23</f>
        <v>137.2</v>
      </c>
    </row>
    <row r="43" spans="6:12" ht="12.75">
      <c r="F43" s="80" t="str">
        <f>'Feed price forecasts'!A25</f>
        <v>Soya prices (UK prices based on  CBOT futures)</v>
      </c>
      <c r="G43" s="84">
        <f>'Feed price forecasts'!H25</f>
        <v>316.8868432359105</v>
      </c>
      <c r="H43" s="85">
        <f>'Feed price forecasts'!I25</f>
        <v>318.6607945882294</v>
      </c>
      <c r="I43" s="85">
        <f>'Feed price forecasts'!J25</f>
        <v>318.7790580117174</v>
      </c>
      <c r="J43" s="85">
        <f>'Feed price forecasts'!K25</f>
        <v>317.83295062381393</v>
      </c>
      <c r="K43" s="85">
        <f>'Feed price forecasts'!L25</f>
        <v>318.8381897234613</v>
      </c>
      <c r="L43" s="85">
        <f>'Feed price forecasts'!M25</f>
        <v>318.1286091825337</v>
      </c>
    </row>
    <row r="46" spans="14:15" ht="12.75">
      <c r="N46" s="79" t="s">
        <v>161</v>
      </c>
      <c r="O46">
        <v>159.3601674744283</v>
      </c>
    </row>
    <row r="47" ht="12.75">
      <c r="N47" s="68"/>
    </row>
    <row r="48" spans="14:15" ht="12.75">
      <c r="N48" s="79" t="s">
        <v>162</v>
      </c>
      <c r="O48" s="77">
        <v>154.3051235605239</v>
      </c>
    </row>
    <row r="49" spans="14:15" ht="12.75">
      <c r="N49" s="79" t="s">
        <v>163</v>
      </c>
      <c r="O49" s="77">
        <v>154.8812537509538</v>
      </c>
    </row>
    <row r="50" spans="14:15" ht="12.75">
      <c r="N50" s="79" t="s">
        <v>164</v>
      </c>
      <c r="O50" s="77">
        <v>155.61937532904085</v>
      </c>
    </row>
    <row r="51" spans="14:15" ht="12.75">
      <c r="N51" s="79" t="s">
        <v>165</v>
      </c>
      <c r="O51" s="77">
        <v>156.34709789017566</v>
      </c>
    </row>
    <row r="52" spans="14:15" ht="12.75">
      <c r="N52" s="79" t="s">
        <v>166</v>
      </c>
      <c r="O52" s="77">
        <v>156.71730372092293</v>
      </c>
    </row>
    <row r="53" spans="14:15" ht="12.75">
      <c r="N53" s="79" t="s">
        <v>167</v>
      </c>
      <c r="O53" s="77">
        <v>151.98244985920851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70"/>
  <sheetViews>
    <sheetView zoomScale="80" zoomScaleNormal="80" zoomScalePageLayoutView="0" workbookViewId="0" topLeftCell="A1">
      <pane ySplit="8" topLeftCell="A61" activePane="bottomLeft" state="frozen"/>
      <selection pane="topLeft" activeCell="A1" sqref="A1"/>
      <selection pane="bottomLeft" activeCell="E71" sqref="E71"/>
    </sheetView>
  </sheetViews>
  <sheetFormatPr defaultColWidth="10.140625" defaultRowHeight="12.75"/>
  <cols>
    <col min="1" max="1" width="9.421875" style="0" customWidth="1"/>
    <col min="2" max="2" width="1.8515625" style="0" customWidth="1"/>
    <col min="3" max="3" width="9.57421875" style="0" customWidth="1"/>
    <col min="4" max="4" width="1.7109375" style="0" customWidth="1"/>
    <col min="5" max="5" width="11.00390625" style="0" customWidth="1"/>
    <col min="6" max="6" width="8.57421875" style="0" customWidth="1"/>
    <col min="7" max="7" width="11.00390625" style="0" customWidth="1"/>
    <col min="8" max="9" width="11.28125" style="0" customWidth="1"/>
    <col min="10" max="10" width="11.421875" style="0" customWidth="1"/>
    <col min="11" max="11" width="12.421875" style="0" customWidth="1"/>
    <col min="12" max="12" width="8.8515625" style="0" bestFit="1" customWidth="1"/>
    <col min="13" max="13" width="2.28125" style="0" customWidth="1"/>
    <col min="14" max="14" width="11.7109375" style="0" customWidth="1"/>
    <col min="15" max="15" width="11.421875" style="0" customWidth="1"/>
    <col min="16" max="16" width="8.421875" style="0" customWidth="1"/>
  </cols>
  <sheetData>
    <row r="5" spans="1:16" ht="18">
      <c r="A5" s="86" t="s">
        <v>177</v>
      </c>
      <c r="B5" s="87"/>
      <c r="C5" s="88"/>
      <c r="D5" s="87"/>
      <c r="E5" s="88"/>
      <c r="F5" s="87"/>
      <c r="G5" s="89"/>
      <c r="H5" s="89"/>
      <c r="I5" s="89"/>
      <c r="J5" s="89"/>
      <c r="K5" s="89"/>
      <c r="L5" s="89"/>
      <c r="M5" s="89"/>
      <c r="N5" s="89"/>
      <c r="O5" s="89"/>
      <c r="P5" s="87"/>
    </row>
    <row r="6" spans="1:16" ht="18">
      <c r="A6" s="86"/>
      <c r="B6" s="87"/>
      <c r="C6" s="88"/>
      <c r="D6" s="87"/>
      <c r="E6" s="88"/>
      <c r="F6" s="87"/>
      <c r="G6" s="89"/>
      <c r="H6" s="89"/>
      <c r="I6" s="89"/>
      <c r="J6" s="89"/>
      <c r="K6" s="89"/>
      <c r="L6" s="89"/>
      <c r="M6" s="89"/>
      <c r="N6" s="89"/>
      <c r="O6" s="89"/>
      <c r="P6" s="87"/>
    </row>
    <row r="7" spans="1:16" ht="73.5" customHeight="1">
      <c r="A7" s="97"/>
      <c r="B7" s="87"/>
      <c r="C7" s="90" t="s">
        <v>147</v>
      </c>
      <c r="D7" s="91"/>
      <c r="E7" s="90" t="s">
        <v>178</v>
      </c>
      <c r="F7" s="87"/>
      <c r="G7" s="93" t="s">
        <v>170</v>
      </c>
      <c r="H7" s="93" t="s">
        <v>171</v>
      </c>
      <c r="I7" s="93" t="s">
        <v>172</v>
      </c>
      <c r="J7" s="93" t="s">
        <v>173</v>
      </c>
      <c r="K7" s="93" t="s">
        <v>174</v>
      </c>
      <c r="L7" s="89"/>
      <c r="M7" s="89"/>
      <c r="N7" s="93" t="s">
        <v>175</v>
      </c>
      <c r="O7" s="93" t="s">
        <v>175</v>
      </c>
      <c r="P7" s="91" t="s">
        <v>169</v>
      </c>
    </row>
    <row r="8" spans="1:16" ht="12.75">
      <c r="A8" s="97"/>
      <c r="B8" s="87"/>
      <c r="C8" s="88"/>
      <c r="D8" s="87"/>
      <c r="E8" s="92" t="s">
        <v>156</v>
      </c>
      <c r="F8" s="94" t="s">
        <v>143</v>
      </c>
      <c r="G8" s="95" t="s">
        <v>156</v>
      </c>
      <c r="H8" s="95" t="s">
        <v>156</v>
      </c>
      <c r="I8" s="95" t="s">
        <v>156</v>
      </c>
      <c r="J8" s="95" t="s">
        <v>156</v>
      </c>
      <c r="K8" s="95" t="s">
        <v>156</v>
      </c>
      <c r="L8" s="95" t="s">
        <v>143</v>
      </c>
      <c r="M8" s="89"/>
      <c r="N8" s="95" t="s">
        <v>156</v>
      </c>
      <c r="O8" s="95" t="s">
        <v>143</v>
      </c>
      <c r="P8" s="87" t="s">
        <v>176</v>
      </c>
    </row>
    <row r="10" spans="1:16" ht="12">
      <c r="A10" s="87" t="s">
        <v>179</v>
      </c>
      <c r="B10" s="87"/>
      <c r="C10" s="98">
        <v>78.05</v>
      </c>
      <c r="D10" s="98"/>
      <c r="E10" s="98">
        <v>136.97</v>
      </c>
      <c r="F10" s="98">
        <v>106.905085</v>
      </c>
      <c r="G10" s="98">
        <v>74.42879660687778</v>
      </c>
      <c r="H10" s="98">
        <v>9.419849749832409</v>
      </c>
      <c r="I10" s="98">
        <v>13.503683423458762</v>
      </c>
      <c r="J10" s="98">
        <v>36.09410426299625</v>
      </c>
      <c r="K10" s="98">
        <v>133.4464340431652</v>
      </c>
      <c r="L10" s="98">
        <v>104.15494177069044</v>
      </c>
      <c r="M10" s="98"/>
      <c r="N10" s="98">
        <v>3.5235659568348012</v>
      </c>
      <c r="O10" s="98">
        <v>2.750143229309562</v>
      </c>
      <c r="P10" s="96">
        <v>0.5444133059896847</v>
      </c>
    </row>
    <row r="11" spans="1:16" ht="12">
      <c r="A11" s="87" t="s">
        <v>180</v>
      </c>
      <c r="B11" s="87"/>
      <c r="C11" s="98">
        <v>78.11</v>
      </c>
      <c r="D11" s="98"/>
      <c r="E11" s="98">
        <v>151.47</v>
      </c>
      <c r="F11" s="98">
        <v>118.31321700000001</v>
      </c>
      <c r="G11" s="98">
        <v>75.2620499123692</v>
      </c>
      <c r="H11" s="98">
        <v>9.148405681478057</v>
      </c>
      <c r="I11" s="98">
        <v>13.461865172463552</v>
      </c>
      <c r="J11" s="98">
        <v>35.94337432459668</v>
      </c>
      <c r="K11" s="98">
        <v>133.8156950909075</v>
      </c>
      <c r="L11" s="98">
        <v>104.52343943550784</v>
      </c>
      <c r="M11" s="98"/>
      <c r="N11" s="98">
        <v>17.654304909092502</v>
      </c>
      <c r="O11" s="98">
        <v>13.789777564492153</v>
      </c>
      <c r="P11" s="96">
        <v>0.5438028495995687</v>
      </c>
    </row>
    <row r="12" spans="1:16" ht="12">
      <c r="A12" s="87" t="s">
        <v>181</v>
      </c>
      <c r="B12" s="87"/>
      <c r="C12" s="98">
        <v>78.84</v>
      </c>
      <c r="D12" s="98"/>
      <c r="E12" s="98">
        <v>152.81</v>
      </c>
      <c r="F12" s="98">
        <v>120.475404</v>
      </c>
      <c r="G12" s="98">
        <v>79.69919361952697</v>
      </c>
      <c r="H12" s="98">
        <v>9.038380873320822</v>
      </c>
      <c r="I12" s="98">
        <v>13.42048384655622</v>
      </c>
      <c r="J12" s="98">
        <v>36.161458731795605</v>
      </c>
      <c r="K12" s="98">
        <v>138.3195170711996</v>
      </c>
      <c r="L12" s="98">
        <v>109.05110725893377</v>
      </c>
      <c r="M12" s="98"/>
      <c r="N12" s="98">
        <v>14.49048292880039</v>
      </c>
      <c r="O12" s="98">
        <v>11.424296741066227</v>
      </c>
      <c r="P12" s="96">
        <v>0.5654268899226236</v>
      </c>
    </row>
    <row r="13" spans="1:16" ht="12">
      <c r="A13" s="87" t="s">
        <v>182</v>
      </c>
      <c r="B13" s="87"/>
      <c r="C13" s="98">
        <v>79.86</v>
      </c>
      <c r="D13" s="98"/>
      <c r="E13" s="98">
        <v>141.48</v>
      </c>
      <c r="F13" s="98">
        <v>112.98592799999999</v>
      </c>
      <c r="G13" s="98">
        <v>72.3784019362152</v>
      </c>
      <c r="H13" s="98">
        <v>9.128379751230687</v>
      </c>
      <c r="I13" s="98">
        <v>13.36117407149175</v>
      </c>
      <c r="J13" s="98">
        <v>35.581050310500544</v>
      </c>
      <c r="K13" s="98">
        <v>130.44900606943816</v>
      </c>
      <c r="L13" s="98">
        <v>104.1765762470533</v>
      </c>
      <c r="M13" s="98"/>
      <c r="N13" s="98">
        <v>11.030993930561834</v>
      </c>
      <c r="O13" s="98">
        <v>8.80935175294668</v>
      </c>
      <c r="P13" s="96">
        <v>0.5418191663681898</v>
      </c>
    </row>
    <row r="14" spans="1:16" ht="12">
      <c r="A14" s="87" t="s">
        <v>183</v>
      </c>
      <c r="B14" s="87"/>
      <c r="C14" s="98">
        <v>78.65</v>
      </c>
      <c r="D14" s="98"/>
      <c r="E14" s="98">
        <v>140.63</v>
      </c>
      <c r="F14" s="98">
        <v>110.605495</v>
      </c>
      <c r="G14" s="98">
        <v>74.80940105133257</v>
      </c>
      <c r="H14" s="98">
        <v>8.930379371422518</v>
      </c>
      <c r="I14" s="98">
        <v>12.867057587964492</v>
      </c>
      <c r="J14" s="98">
        <v>37.21591446918124</v>
      </c>
      <c r="K14" s="98">
        <v>133.82275247990083</v>
      </c>
      <c r="L14" s="98">
        <v>105.25159482544201</v>
      </c>
      <c r="M14" s="98"/>
      <c r="N14" s="98">
        <v>6.807247520099168</v>
      </c>
      <c r="O14" s="98">
        <v>5.353900174557996</v>
      </c>
      <c r="P14" s="96">
        <v>0.5488186735585318</v>
      </c>
    </row>
    <row r="15" spans="1:16" ht="12">
      <c r="A15" s="87" t="s">
        <v>184</v>
      </c>
      <c r="B15" s="87"/>
      <c r="C15" s="98">
        <v>78.65</v>
      </c>
      <c r="D15" s="98"/>
      <c r="E15" s="98">
        <v>145.2</v>
      </c>
      <c r="F15" s="98">
        <v>114.1998</v>
      </c>
      <c r="G15" s="98">
        <v>78.06331440353803</v>
      </c>
      <c r="H15" s="98">
        <v>8.843779735769584</v>
      </c>
      <c r="I15" s="98">
        <v>12.886109564894458</v>
      </c>
      <c r="J15" s="98">
        <v>37.624861636685594</v>
      </c>
      <c r="K15" s="98">
        <v>137.41806534088767</v>
      </c>
      <c r="L15" s="98">
        <v>108.07930839060815</v>
      </c>
      <c r="M15" s="98"/>
      <c r="N15" s="98">
        <v>7.7819346591123235</v>
      </c>
      <c r="O15" s="98">
        <v>6.120491609391843</v>
      </c>
      <c r="P15" s="96">
        <v>0.5581752214280554</v>
      </c>
    </row>
    <row r="16" spans="1:16" ht="12">
      <c r="A16" s="87" t="s">
        <v>185</v>
      </c>
      <c r="B16" s="87"/>
      <c r="C16" s="98">
        <v>78.9</v>
      </c>
      <c r="D16" s="98"/>
      <c r="E16" s="98">
        <v>143.9</v>
      </c>
      <c r="F16" s="98">
        <v>113.53710000000001</v>
      </c>
      <c r="G16" s="98">
        <v>80.17571092246165</v>
      </c>
      <c r="H16" s="98">
        <v>8.697572339140908</v>
      </c>
      <c r="I16" s="98">
        <v>12.832486327779138</v>
      </c>
      <c r="J16" s="98">
        <v>37.19134609313487</v>
      </c>
      <c r="K16" s="98">
        <v>138.89711568251656</v>
      </c>
      <c r="L16" s="98">
        <v>109.58982427350557</v>
      </c>
      <c r="M16" s="98"/>
      <c r="N16" s="98">
        <v>5.002884317483449</v>
      </c>
      <c r="O16" s="98">
        <v>3.947275726494442</v>
      </c>
      <c r="P16" s="96">
        <v>0.5626851180615501</v>
      </c>
    </row>
    <row r="17" spans="1:16" ht="12">
      <c r="A17" s="87" t="s">
        <v>186</v>
      </c>
      <c r="B17" s="87"/>
      <c r="C17" s="98">
        <v>79.55</v>
      </c>
      <c r="D17" s="98"/>
      <c r="E17" s="98">
        <v>137.37</v>
      </c>
      <c r="F17" s="98">
        <v>109.277835</v>
      </c>
      <c r="G17" s="98">
        <v>85.69126915100603</v>
      </c>
      <c r="H17" s="98">
        <v>8.696860322746476</v>
      </c>
      <c r="I17" s="98">
        <v>12.987245229391151</v>
      </c>
      <c r="J17" s="98">
        <v>37.09405161507431</v>
      </c>
      <c r="K17" s="98">
        <v>144.46942631821796</v>
      </c>
      <c r="L17" s="98">
        <v>114.92542863614239</v>
      </c>
      <c r="M17" s="98"/>
      <c r="N17" s="98">
        <v>-7.099426318217951</v>
      </c>
      <c r="O17" s="98">
        <v>-5.647593636142379</v>
      </c>
      <c r="P17" s="96">
        <v>0.5822436976577802</v>
      </c>
    </row>
    <row r="18" spans="1:16" ht="12">
      <c r="A18" s="87" t="s">
        <v>187</v>
      </c>
      <c r="B18" s="87"/>
      <c r="C18" s="98">
        <v>80.11333333333334</v>
      </c>
      <c r="D18" s="98"/>
      <c r="E18" s="98">
        <v>135.94333333333336</v>
      </c>
      <c r="F18" s="98">
        <v>108.907134</v>
      </c>
      <c r="G18" s="98">
        <v>105.84149026947689</v>
      </c>
      <c r="H18" s="98">
        <v>10.036000697757622</v>
      </c>
      <c r="I18" s="98">
        <v>12.775179221900343</v>
      </c>
      <c r="J18" s="98">
        <v>37.197642197045134</v>
      </c>
      <c r="K18" s="98">
        <v>165.85031238617998</v>
      </c>
      <c r="L18" s="98">
        <v>132.85440662239083</v>
      </c>
      <c r="M18" s="98"/>
      <c r="N18" s="98">
        <v>-29.906979052846662</v>
      </c>
      <c r="O18" s="98">
        <v>-23.94727262239083</v>
      </c>
      <c r="P18" s="96">
        <v>0.6232497601362758</v>
      </c>
    </row>
    <row r="19" spans="1:16" ht="12">
      <c r="A19" s="87" t="s">
        <v>188</v>
      </c>
      <c r="B19" s="87"/>
      <c r="C19" s="98">
        <v>77.92</v>
      </c>
      <c r="D19" s="98"/>
      <c r="E19" s="98">
        <v>147.61333333333334</v>
      </c>
      <c r="F19" s="98">
        <v>115.00160133333334</v>
      </c>
      <c r="G19" s="98">
        <v>103.00116363205102</v>
      </c>
      <c r="H19" s="98">
        <v>10.177081608395728</v>
      </c>
      <c r="I19" s="98">
        <v>12.826442090852202</v>
      </c>
      <c r="J19" s="98">
        <v>37.49232487134911</v>
      </c>
      <c r="K19" s="98">
        <v>163.49701220264805</v>
      </c>
      <c r="L19" s="98">
        <v>127.40652155571648</v>
      </c>
      <c r="M19" s="98"/>
      <c r="N19" s="98">
        <v>-15.883678869314707</v>
      </c>
      <c r="O19" s="98">
        <v>-12.404920222383138</v>
      </c>
      <c r="P19" s="96">
        <v>0.6186583300175942</v>
      </c>
    </row>
    <row r="20" spans="1:16" ht="12">
      <c r="A20" s="87" t="s">
        <v>189</v>
      </c>
      <c r="B20" s="87"/>
      <c r="C20" s="98">
        <v>79.12666666666667</v>
      </c>
      <c r="D20" s="98"/>
      <c r="E20" s="98">
        <v>148.8066666666667</v>
      </c>
      <c r="F20" s="98">
        <v>117.726444</v>
      </c>
      <c r="G20" s="98">
        <v>95.98055663958506</v>
      </c>
      <c r="H20" s="98">
        <v>10.374020285215574</v>
      </c>
      <c r="I20" s="98">
        <v>12.837881664439658</v>
      </c>
      <c r="J20" s="98">
        <v>37.03521470997629</v>
      </c>
      <c r="K20" s="98">
        <v>156.22767329921658</v>
      </c>
      <c r="L20" s="98">
        <v>123.61321640066187</v>
      </c>
      <c r="M20" s="98"/>
      <c r="N20" s="98">
        <v>-7.421006632549904</v>
      </c>
      <c r="O20" s="98">
        <v>-5.886772400661844</v>
      </c>
      <c r="P20" s="96">
        <v>0.602869292228537</v>
      </c>
    </row>
    <row r="21" spans="1:16" ht="12">
      <c r="A21" s="87" t="s">
        <v>190</v>
      </c>
      <c r="B21" s="87"/>
      <c r="C21" s="98">
        <v>79.03000000000002</v>
      </c>
      <c r="D21" s="98"/>
      <c r="E21" s="98">
        <v>146.89000000000001</v>
      </c>
      <c r="F21" s="98">
        <v>116.08480100000001</v>
      </c>
      <c r="G21" s="98">
        <v>90.42517738015692</v>
      </c>
      <c r="H21" s="98">
        <v>10.487987840272309</v>
      </c>
      <c r="I21" s="98">
        <v>12.47756456303849</v>
      </c>
      <c r="J21" s="98">
        <v>35.461502521578595</v>
      </c>
      <c r="K21" s="98">
        <v>148.85223230504633</v>
      </c>
      <c r="L21" s="98">
        <v>117.64355709467611</v>
      </c>
      <c r="M21" s="98"/>
      <c r="N21" s="98">
        <v>-1.9622323050463137</v>
      </c>
      <c r="O21" s="98">
        <v>-1.5587560946761083</v>
      </c>
      <c r="P21" s="96">
        <v>0.5945654398268101</v>
      </c>
    </row>
    <row r="22" spans="1:16" ht="12">
      <c r="A22" s="87" t="s">
        <v>191</v>
      </c>
      <c r="B22" s="87"/>
      <c r="C22" s="98">
        <v>79.64666666666666</v>
      </c>
      <c r="D22" s="98"/>
      <c r="E22" s="98">
        <v>141.65666666666667</v>
      </c>
      <c r="F22" s="98">
        <v>112.825371</v>
      </c>
      <c r="G22" s="98">
        <v>92.49113151978378</v>
      </c>
      <c r="H22" s="98">
        <v>8.110443339349656</v>
      </c>
      <c r="I22" s="98">
        <v>13.23702150350673</v>
      </c>
      <c r="J22" s="98">
        <v>36.23464430500328</v>
      </c>
      <c r="K22" s="98">
        <v>150.07324066764343</v>
      </c>
      <c r="L22" s="98">
        <v>119.51926421551934</v>
      </c>
      <c r="M22" s="98"/>
      <c r="N22" s="98">
        <v>-8.416574000976786</v>
      </c>
      <c r="O22" s="98">
        <v>-6.693893215519346</v>
      </c>
      <c r="P22" s="96">
        <v>0.6162463663730172</v>
      </c>
    </row>
    <row r="23" spans="1:16" ht="12">
      <c r="A23" s="87" t="s">
        <v>192</v>
      </c>
      <c r="B23" s="87"/>
      <c r="C23" s="98">
        <v>78.38</v>
      </c>
      <c r="D23" s="98"/>
      <c r="E23" s="98">
        <v>148.30999999999997</v>
      </c>
      <c r="F23" s="98">
        <v>116.24097466666666</v>
      </c>
      <c r="G23" s="98">
        <v>98.00440974855923</v>
      </c>
      <c r="H23" s="98">
        <v>8.0985285037524</v>
      </c>
      <c r="I23" s="98">
        <v>13.324317768511419</v>
      </c>
      <c r="J23" s="98">
        <v>36.340721419746764</v>
      </c>
      <c r="K23" s="98">
        <v>155.7679774405698</v>
      </c>
      <c r="L23" s="98">
        <v>122.08518748397842</v>
      </c>
      <c r="M23" s="98"/>
      <c r="N23" s="98">
        <v>-7.457977440569825</v>
      </c>
      <c r="O23" s="98">
        <v>-5.8442128173117665</v>
      </c>
      <c r="P23" s="96">
        <v>0.6302480099705964</v>
      </c>
    </row>
    <row r="24" spans="1:16" ht="12">
      <c r="A24" s="87" t="s">
        <v>193</v>
      </c>
      <c r="B24" s="87"/>
      <c r="C24" s="98">
        <v>78.03333333333333</v>
      </c>
      <c r="D24" s="98"/>
      <c r="E24" s="98">
        <v>151.25333333333333</v>
      </c>
      <c r="F24" s="98">
        <v>118.03105</v>
      </c>
      <c r="G24" s="98">
        <v>108.73982086690313</v>
      </c>
      <c r="H24" s="98">
        <v>8.183336072267267</v>
      </c>
      <c r="I24" s="98">
        <v>13.382013027761785</v>
      </c>
      <c r="J24" s="98">
        <v>36.660732998565514</v>
      </c>
      <c r="K24" s="98">
        <v>166.9659029654977</v>
      </c>
      <c r="L24" s="98">
        <v>130.29176222392553</v>
      </c>
      <c r="M24" s="98"/>
      <c r="N24" s="98">
        <v>-15.712569632164351</v>
      </c>
      <c r="O24" s="98">
        <v>-12.260712223925566</v>
      </c>
      <c r="P24" s="96">
        <v>0.6511402903199061</v>
      </c>
    </row>
    <row r="25" spans="1:16" ht="12">
      <c r="A25" s="87" t="s">
        <v>194</v>
      </c>
      <c r="B25" s="87"/>
      <c r="C25" s="98">
        <v>78.91</v>
      </c>
      <c r="D25" s="98"/>
      <c r="E25" s="98">
        <v>159.64666666666668</v>
      </c>
      <c r="F25" s="98">
        <v>125.97295366666667</v>
      </c>
      <c r="G25" s="98">
        <v>107.5400181533192</v>
      </c>
      <c r="H25" s="98">
        <v>8.115105655542962</v>
      </c>
      <c r="I25" s="98">
        <v>13.214840207713314</v>
      </c>
      <c r="J25" s="98">
        <v>35.83856233899566</v>
      </c>
      <c r="K25" s="98">
        <v>164.70852635557114</v>
      </c>
      <c r="L25" s="98">
        <v>129.95873868425338</v>
      </c>
      <c r="M25" s="98"/>
      <c r="N25" s="98">
        <v>-5.0618596889044625</v>
      </c>
      <c r="O25" s="98">
        <v>-3.9857850175867227</v>
      </c>
      <c r="P25" s="96">
        <v>0.6528281115232432</v>
      </c>
    </row>
    <row r="26" spans="1:16" ht="12">
      <c r="A26" s="87" t="s">
        <v>195</v>
      </c>
      <c r="B26" s="87"/>
      <c r="C26" s="98">
        <v>79.99333333333334</v>
      </c>
      <c r="D26" s="98"/>
      <c r="E26" s="98">
        <v>157.49666666666667</v>
      </c>
      <c r="F26" s="98">
        <v>125.98709866666667</v>
      </c>
      <c r="G26" s="98">
        <v>112.14854383616046</v>
      </c>
      <c r="H26" s="98">
        <v>8.711975192515226</v>
      </c>
      <c r="I26" s="98">
        <v>13.255112259554878</v>
      </c>
      <c r="J26" s="98">
        <v>35.70419495869112</v>
      </c>
      <c r="K26" s="98">
        <v>169.81982624692168</v>
      </c>
      <c r="L26" s="98">
        <v>135.84670888202916</v>
      </c>
      <c r="M26" s="98"/>
      <c r="N26" s="98">
        <v>-12.32315958025499</v>
      </c>
      <c r="O26" s="98">
        <v>-9.859610215362528</v>
      </c>
      <c r="P26" s="96">
        <v>0.660337797979595</v>
      </c>
    </row>
    <row r="27" spans="1:16" ht="12">
      <c r="A27" s="87" t="s">
        <v>196</v>
      </c>
      <c r="B27" s="87"/>
      <c r="C27" s="98">
        <v>79.03333333333333</v>
      </c>
      <c r="D27" s="98"/>
      <c r="E27" s="98">
        <v>163.92999999999998</v>
      </c>
      <c r="F27" s="98">
        <v>129.55462866666667</v>
      </c>
      <c r="G27" s="98">
        <v>104.96984089486413</v>
      </c>
      <c r="H27" s="98">
        <v>8.769033112849677</v>
      </c>
      <c r="I27" s="98">
        <v>13.37232955809737</v>
      </c>
      <c r="J27" s="98">
        <v>35.967477095005385</v>
      </c>
      <c r="K27" s="98">
        <v>163.07868066081656</v>
      </c>
      <c r="L27" s="98">
        <v>128.88858601989685</v>
      </c>
      <c r="M27" s="98"/>
      <c r="N27" s="98">
        <v>0.8513193391834383</v>
      </c>
      <c r="O27" s="98">
        <v>0.666042646769777</v>
      </c>
      <c r="P27" s="96">
        <v>0.6436534050002504</v>
      </c>
    </row>
    <row r="28" spans="1:16" ht="12">
      <c r="A28" s="87" t="s">
        <v>197</v>
      </c>
      <c r="B28" s="87"/>
      <c r="C28" s="98">
        <v>79.29666666666667</v>
      </c>
      <c r="D28" s="98"/>
      <c r="E28" s="98">
        <v>168.84</v>
      </c>
      <c r="F28" s="98">
        <v>133.88801133333334</v>
      </c>
      <c r="G28" s="98">
        <v>94.5346849094663</v>
      </c>
      <c r="H28" s="98">
        <v>7.884828751116475</v>
      </c>
      <c r="I28" s="98">
        <v>13.346415445857913</v>
      </c>
      <c r="J28" s="98">
        <v>35.55980850843574</v>
      </c>
      <c r="K28" s="98">
        <v>151.32573761487643</v>
      </c>
      <c r="L28" s="98">
        <v>119.976767631025</v>
      </c>
      <c r="M28" s="98"/>
      <c r="N28" s="98">
        <v>17.514262385123583</v>
      </c>
      <c r="O28" s="98">
        <v>13.911243702308326</v>
      </c>
      <c r="P28" s="96">
        <v>0.6244607782611077</v>
      </c>
    </row>
    <row r="29" spans="1:16" ht="12">
      <c r="A29" s="87" t="s">
        <v>198</v>
      </c>
      <c r="B29" s="87"/>
      <c r="C29" s="98">
        <v>79.85</v>
      </c>
      <c r="D29" s="98"/>
      <c r="E29" s="98">
        <v>171.58</v>
      </c>
      <c r="F29" s="98">
        <v>137.00758733333333</v>
      </c>
      <c r="G29" s="98">
        <v>89.68281089872778</v>
      </c>
      <c r="H29" s="98">
        <v>8.133272297173606</v>
      </c>
      <c r="I29" s="98">
        <v>12.941722680303668</v>
      </c>
      <c r="J29" s="98">
        <v>34.611769692122614</v>
      </c>
      <c r="K29" s="98">
        <v>145.3695755683277</v>
      </c>
      <c r="L29" s="98">
        <v>116.0708845863453</v>
      </c>
      <c r="M29" s="98"/>
      <c r="N29" s="98">
        <v>26.210424431672322</v>
      </c>
      <c r="O29" s="98">
        <v>20.936702746988036</v>
      </c>
      <c r="P29" s="96">
        <v>0.6169163001723043</v>
      </c>
    </row>
    <row r="30" spans="1:17" ht="12">
      <c r="A30" s="87" t="s">
        <v>199</v>
      </c>
      <c r="B30" s="87"/>
      <c r="C30" s="98">
        <v>80.67</v>
      </c>
      <c r="D30" s="98"/>
      <c r="E30" s="98">
        <v>164.95333333333335</v>
      </c>
      <c r="F30" s="98">
        <v>133.06947466666668</v>
      </c>
      <c r="G30" s="98">
        <v>91.04747090621534</v>
      </c>
      <c r="H30" s="98">
        <v>9.326351652173738</v>
      </c>
      <c r="I30" s="98">
        <v>13.420172710840541</v>
      </c>
      <c r="J30" s="98">
        <v>38.45475778592486</v>
      </c>
      <c r="K30" s="98">
        <v>152.24875305515448</v>
      </c>
      <c r="L30" s="98">
        <v>122.8199586096278</v>
      </c>
      <c r="M30" s="98"/>
      <c r="N30" s="98">
        <v>12.70458027817883</v>
      </c>
      <c r="O30" s="98">
        <v>10.249516057038848</v>
      </c>
      <c r="P30" s="96">
        <v>0.5979784787477086</v>
      </c>
      <c r="Q30" s="87"/>
    </row>
    <row r="31" spans="1:16" ht="12">
      <c r="A31" s="87" t="s">
        <v>200</v>
      </c>
      <c r="B31" s="87"/>
      <c r="C31" s="98">
        <v>79.73333333333333</v>
      </c>
      <c r="D31" s="98"/>
      <c r="E31" s="98">
        <v>163.93</v>
      </c>
      <c r="F31" s="98">
        <v>130.706154</v>
      </c>
      <c r="G31" s="98">
        <v>92.83494284266878</v>
      </c>
      <c r="H31" s="98">
        <v>9.36402129427332</v>
      </c>
      <c r="I31" s="98">
        <v>13.248711313155164</v>
      </c>
      <c r="J31" s="98">
        <v>38.40967387709354</v>
      </c>
      <c r="K31" s="98">
        <v>153.8573493271908</v>
      </c>
      <c r="L31" s="98">
        <v>122.68497054781538</v>
      </c>
      <c r="M31" s="98"/>
      <c r="N31" s="98">
        <v>10.072650672809203</v>
      </c>
      <c r="O31" s="98">
        <v>8.02118345218461</v>
      </c>
      <c r="P31" s="96">
        <v>0.6032632240081187</v>
      </c>
    </row>
    <row r="32" spans="1:16" ht="12">
      <c r="A32" s="87" t="s">
        <v>201</v>
      </c>
      <c r="B32" s="87"/>
      <c r="C32" s="98">
        <v>79.7</v>
      </c>
      <c r="D32" s="98"/>
      <c r="E32" s="98">
        <v>158.66666666666666</v>
      </c>
      <c r="F32" s="98">
        <v>126.44193833333334</v>
      </c>
      <c r="G32" s="98">
        <v>82.87957095755073</v>
      </c>
      <c r="H32" s="98">
        <v>9.487120244680066</v>
      </c>
      <c r="I32" s="98">
        <v>13.268687261699496</v>
      </c>
      <c r="J32" s="98">
        <v>38.1102641946626</v>
      </c>
      <c r="K32" s="98">
        <v>143.7456426585929</v>
      </c>
      <c r="L32" s="98">
        <v>114.5363186059144</v>
      </c>
      <c r="M32" s="98"/>
      <c r="N32" s="98">
        <v>14.921024008073772</v>
      </c>
      <c r="O32" s="98">
        <v>11.905619727418943</v>
      </c>
      <c r="P32" s="96">
        <v>0.5763187644977489</v>
      </c>
    </row>
    <row r="33" spans="1:16" ht="12">
      <c r="A33" s="87" t="s">
        <v>202</v>
      </c>
      <c r="B33" s="87"/>
      <c r="C33" s="98">
        <v>81.48</v>
      </c>
      <c r="D33" s="98"/>
      <c r="E33" s="98">
        <v>151.37333333333333</v>
      </c>
      <c r="F33" s="98">
        <v>123.362417</v>
      </c>
      <c r="G33" s="98">
        <v>82.33973630971823</v>
      </c>
      <c r="H33" s="98">
        <v>9.914770571391832</v>
      </c>
      <c r="I33" s="98">
        <v>13.013796658449612</v>
      </c>
      <c r="J33" s="98">
        <v>37.041023865123485</v>
      </c>
      <c r="K33" s="98">
        <v>142.30932740468316</v>
      </c>
      <c r="L33" s="98">
        <v>115.92754976201415</v>
      </c>
      <c r="M33" s="98"/>
      <c r="N33" s="98">
        <v>9.064005928650156</v>
      </c>
      <c r="O33" s="98">
        <v>7.434867237985839</v>
      </c>
      <c r="P33" s="96">
        <v>0.5783704397280801</v>
      </c>
    </row>
    <row r="34" spans="1:16" ht="12">
      <c r="A34" s="87" t="s">
        <v>203</v>
      </c>
      <c r="B34" s="87"/>
      <c r="C34" s="98">
        <v>81.80333333333334</v>
      </c>
      <c r="D34" s="98"/>
      <c r="E34" s="98">
        <v>139.7733333333333</v>
      </c>
      <c r="F34" s="98">
        <v>114.345016</v>
      </c>
      <c r="G34" s="98">
        <v>85.85863012023226</v>
      </c>
      <c r="H34" s="98">
        <v>10.536023559049118</v>
      </c>
      <c r="I34" s="98">
        <v>13.77536616457101</v>
      </c>
      <c r="J34" s="98">
        <v>36.209111738413235</v>
      </c>
      <c r="K34" s="98">
        <v>146.37913158226561</v>
      </c>
      <c r="L34" s="98">
        <v>119.74385204954133</v>
      </c>
      <c r="M34" s="98"/>
      <c r="N34" s="98">
        <v>-6.605798248932284</v>
      </c>
      <c r="O34" s="98">
        <v>-5.398836049541334</v>
      </c>
      <c r="P34" s="96">
        <v>0.5865396089382005</v>
      </c>
    </row>
    <row r="35" spans="1:16" ht="12">
      <c r="A35" s="87" t="s">
        <v>204</v>
      </c>
      <c r="B35" s="87"/>
      <c r="C35" s="98">
        <v>80.52999999999999</v>
      </c>
      <c r="D35" s="98"/>
      <c r="E35" s="98">
        <v>136.30666666666667</v>
      </c>
      <c r="F35" s="98">
        <v>109.76664066666667</v>
      </c>
      <c r="G35" s="98">
        <v>76.64416006875292</v>
      </c>
      <c r="H35" s="98">
        <v>11.070451840467555</v>
      </c>
      <c r="I35" s="98">
        <v>13.948718569403637</v>
      </c>
      <c r="J35" s="98">
        <v>36.850089374044295</v>
      </c>
      <c r="K35" s="98">
        <v>138.51341985266842</v>
      </c>
      <c r="L35" s="98">
        <v>111.54531257589565</v>
      </c>
      <c r="M35" s="98"/>
      <c r="N35" s="98">
        <v>-2.206753186001739</v>
      </c>
      <c r="O35" s="98">
        <v>-1.778671909228984</v>
      </c>
      <c r="P35" s="96">
        <v>0.5533310979655619</v>
      </c>
    </row>
    <row r="36" spans="1:16" ht="12">
      <c r="A36" s="87" t="s">
        <v>205</v>
      </c>
      <c r="B36" s="87"/>
      <c r="C36" s="98">
        <v>80.23</v>
      </c>
      <c r="D36" s="98"/>
      <c r="E36" s="98">
        <v>136.28</v>
      </c>
      <c r="F36" s="98">
        <v>109.33015733333333</v>
      </c>
      <c r="G36" s="98">
        <v>77.57713541271634</v>
      </c>
      <c r="H36" s="98">
        <v>11.412795044647632</v>
      </c>
      <c r="I36" s="98">
        <v>13.971721682695255</v>
      </c>
      <c r="J36" s="98">
        <v>36.51911617063773</v>
      </c>
      <c r="K36" s="98">
        <v>139.48076831069696</v>
      </c>
      <c r="L36" s="98">
        <v>111.88523345430552</v>
      </c>
      <c r="M36" s="98"/>
      <c r="N36" s="98">
        <v>-3.2007683106969673</v>
      </c>
      <c r="O36" s="98">
        <v>-2.5550761209721986</v>
      </c>
      <c r="P36" s="96">
        <v>0.5561054391456902</v>
      </c>
    </row>
    <row r="37" spans="1:16" ht="12">
      <c r="A37" s="87" t="s">
        <v>206</v>
      </c>
      <c r="B37" s="87"/>
      <c r="C37" s="98">
        <v>81.57666666666667</v>
      </c>
      <c r="D37" s="98"/>
      <c r="E37" s="98">
        <v>130.24</v>
      </c>
      <c r="F37" s="98">
        <v>106.25211666666667</v>
      </c>
      <c r="G37" s="98">
        <v>75.32868420539042</v>
      </c>
      <c r="H37" s="98">
        <v>10.719796523634509</v>
      </c>
      <c r="I37" s="98">
        <v>13.606975633785147</v>
      </c>
      <c r="J37" s="98">
        <v>35.80423102679836</v>
      </c>
      <c r="K37" s="98">
        <v>135.45968738960843</v>
      </c>
      <c r="L37" s="98">
        <v>110.50783551779024</v>
      </c>
      <c r="M37" s="98"/>
      <c r="N37" s="98">
        <v>-5.219687389608424</v>
      </c>
      <c r="O37" s="98">
        <v>-4.255718851123571</v>
      </c>
      <c r="P37" s="96">
        <v>0.5560707326871502</v>
      </c>
    </row>
    <row r="38" spans="1:16" ht="12">
      <c r="A38" s="87" t="s">
        <v>207</v>
      </c>
      <c r="B38" s="87"/>
      <c r="C38" s="98">
        <v>82.91000000000001</v>
      </c>
      <c r="D38" s="98"/>
      <c r="E38" s="98">
        <v>118.07666666666667</v>
      </c>
      <c r="F38" s="98">
        <v>97.89876400000001</v>
      </c>
      <c r="G38" s="98">
        <v>72.69681310356854</v>
      </c>
      <c r="H38" s="98">
        <v>10.506135673609682</v>
      </c>
      <c r="I38" s="98">
        <v>12.98521114206313</v>
      </c>
      <c r="J38" s="98">
        <v>32.8343287129997</v>
      </c>
      <c r="K38" s="98">
        <v>129.02248863224108</v>
      </c>
      <c r="L38" s="98">
        <v>106.97351246540825</v>
      </c>
      <c r="M38" s="98"/>
      <c r="N38" s="98">
        <v>-10.945821965574401</v>
      </c>
      <c r="O38" s="98">
        <v>-9.074748465408243</v>
      </c>
      <c r="P38" s="96">
        <v>0.5634360320608915</v>
      </c>
    </row>
    <row r="39" spans="1:16" ht="12">
      <c r="A39" s="87" t="s">
        <v>208</v>
      </c>
      <c r="B39" s="87"/>
      <c r="C39" s="98">
        <v>81.56</v>
      </c>
      <c r="D39" s="98"/>
      <c r="E39" s="98">
        <v>120.21333333333332</v>
      </c>
      <c r="F39" s="98">
        <v>98.02430033333333</v>
      </c>
      <c r="G39" s="98">
        <v>75.13751515278946</v>
      </c>
      <c r="H39" s="98">
        <v>10.40302306882007</v>
      </c>
      <c r="I39" s="98">
        <v>13.198218121161089</v>
      </c>
      <c r="J39" s="98">
        <v>33.584571443274676</v>
      </c>
      <c r="K39" s="98">
        <v>132.32332778604533</v>
      </c>
      <c r="L39" s="98">
        <v>107.90688800594431</v>
      </c>
      <c r="M39" s="98"/>
      <c r="N39" s="98">
        <v>-12.109994452711987</v>
      </c>
      <c r="O39" s="98">
        <v>-9.882587672610974</v>
      </c>
      <c r="P39" s="96">
        <v>0.567761704805758</v>
      </c>
    </row>
    <row r="40" spans="1:16" ht="12">
      <c r="A40" s="87" t="s">
        <v>209</v>
      </c>
      <c r="B40" s="87"/>
      <c r="C40" s="98">
        <v>80.96333333333332</v>
      </c>
      <c r="D40" s="98"/>
      <c r="E40" s="98">
        <v>136.81666666666666</v>
      </c>
      <c r="F40" s="98">
        <v>110.79131566666666</v>
      </c>
      <c r="G40" s="98">
        <v>78.80495651783487</v>
      </c>
      <c r="H40" s="98">
        <v>9.681353472748883</v>
      </c>
      <c r="I40" s="98">
        <v>13.443295134815616</v>
      </c>
      <c r="J40" s="98">
        <v>33.48813848720922</v>
      </c>
      <c r="K40" s="98">
        <v>135.41774361260858</v>
      </c>
      <c r="L40" s="98">
        <v>109.63841403648003</v>
      </c>
      <c r="M40" s="98"/>
      <c r="N40" s="98">
        <v>1.3989230540580688</v>
      </c>
      <c r="O40" s="98">
        <v>1.152901630186645</v>
      </c>
      <c r="P40" s="96">
        <v>0.5819425695007134</v>
      </c>
    </row>
    <row r="41" spans="1:16" ht="12">
      <c r="A41" s="87" t="s">
        <v>210</v>
      </c>
      <c r="B41" s="87"/>
      <c r="C41" s="98">
        <v>82.20333333333333</v>
      </c>
      <c r="D41" s="98"/>
      <c r="E41" s="98">
        <v>151.29333333333332</v>
      </c>
      <c r="F41" s="98">
        <v>124.36571599999998</v>
      </c>
      <c r="G41" s="98">
        <v>79.99687240666215</v>
      </c>
      <c r="H41" s="98">
        <v>9.090098692669669</v>
      </c>
      <c r="I41" s="98">
        <v>13.13018636561788</v>
      </c>
      <c r="J41" s="98">
        <v>32.73563689146641</v>
      </c>
      <c r="K41" s="98">
        <v>134.9527943564161</v>
      </c>
      <c r="L41" s="98">
        <v>110.93470343469318</v>
      </c>
      <c r="M41" s="98"/>
      <c r="N41" s="98">
        <v>16.34053897691722</v>
      </c>
      <c r="O41" s="98">
        <v>13.431012565306816</v>
      </c>
      <c r="P41" s="96">
        <v>0.5927302859919982</v>
      </c>
    </row>
    <row r="42" spans="1:16" ht="12">
      <c r="A42" s="87" t="s">
        <v>211</v>
      </c>
      <c r="B42" s="87"/>
      <c r="C42" s="98">
        <v>83.31333333333333</v>
      </c>
      <c r="D42" s="98"/>
      <c r="E42" s="98">
        <v>153.88333333333333</v>
      </c>
      <c r="F42" s="98">
        <v>128.2048386666667</v>
      </c>
      <c r="G42" s="98">
        <v>83.46137047135761</v>
      </c>
      <c r="H42" s="98">
        <v>10.14186866209408</v>
      </c>
      <c r="I42" s="98">
        <v>12.544526687665225</v>
      </c>
      <c r="J42" s="98">
        <v>33.0934130156253</v>
      </c>
      <c r="K42" s="98">
        <v>139.24117883674222</v>
      </c>
      <c r="L42" s="98">
        <v>116.00237586088771</v>
      </c>
      <c r="M42" s="98"/>
      <c r="N42" s="98">
        <v>14.642154496591113</v>
      </c>
      <c r="O42" s="98">
        <v>12.202462805778952</v>
      </c>
      <c r="P42" s="96">
        <v>0.5993304097802782</v>
      </c>
    </row>
    <row r="43" spans="1:16" ht="12">
      <c r="A43" s="87" t="s">
        <v>212</v>
      </c>
      <c r="B43" s="87"/>
      <c r="C43" s="98">
        <v>82.30000000000001</v>
      </c>
      <c r="D43" s="98"/>
      <c r="E43" s="98">
        <v>162.62</v>
      </c>
      <c r="F43" s="98">
        <v>133.826538</v>
      </c>
      <c r="G43" s="98">
        <v>84.96930475025414</v>
      </c>
      <c r="H43" s="98">
        <v>10.0400937556291</v>
      </c>
      <c r="I43" s="98">
        <v>12.665575470664757</v>
      </c>
      <c r="J43" s="98">
        <v>32.95141266442439</v>
      </c>
      <c r="K43" s="98">
        <v>140.62638664097236</v>
      </c>
      <c r="L43" s="98">
        <v>115.7375598570033</v>
      </c>
      <c r="M43" s="98"/>
      <c r="N43" s="98">
        <v>21.99361335902762</v>
      </c>
      <c r="O43" s="98">
        <v>18.08897814299669</v>
      </c>
      <c r="P43" s="96">
        <v>0.6042086978036076</v>
      </c>
    </row>
    <row r="44" spans="1:16" ht="12">
      <c r="A44" s="87" t="s">
        <v>213</v>
      </c>
      <c r="B44" s="87"/>
      <c r="C44" s="98">
        <v>82.96</v>
      </c>
      <c r="D44" s="98"/>
      <c r="E44" s="98">
        <v>166.98333333333335</v>
      </c>
      <c r="F44" s="98">
        <v>138.52188933333335</v>
      </c>
      <c r="G44" s="98">
        <v>84.3352200591182</v>
      </c>
      <c r="H44" s="98">
        <v>10.34813609552352</v>
      </c>
      <c r="I44" s="98">
        <v>12.579118304421762</v>
      </c>
      <c r="J44" s="98">
        <v>32.55688761289196</v>
      </c>
      <c r="K44" s="98">
        <v>139.81936207195545</v>
      </c>
      <c r="L44" s="98">
        <v>115.9883607474253</v>
      </c>
      <c r="M44" s="98"/>
      <c r="N44" s="98">
        <v>27.163971261377867</v>
      </c>
      <c r="O44" s="98">
        <v>22.533528585908027</v>
      </c>
      <c r="P44" s="96">
        <v>0.6031485611380365</v>
      </c>
    </row>
    <row r="45" spans="1:16" ht="12">
      <c r="A45" s="87" t="s">
        <v>214</v>
      </c>
      <c r="B45" s="87"/>
      <c r="C45" s="98">
        <v>83.42333333333333</v>
      </c>
      <c r="D45" s="98"/>
      <c r="E45" s="98">
        <v>156.82333333333335</v>
      </c>
      <c r="F45" s="98">
        <v>130.85169433333334</v>
      </c>
      <c r="G45" s="98">
        <v>87.62498282918585</v>
      </c>
      <c r="H45" s="98">
        <v>11.001043813032625</v>
      </c>
      <c r="I45" s="98">
        <v>12.392202527963313</v>
      </c>
      <c r="J45" s="98">
        <v>32.45959199872607</v>
      </c>
      <c r="K45" s="98">
        <v>143.47782116890787</v>
      </c>
      <c r="L45" s="98">
        <v>119.67440185329485</v>
      </c>
      <c r="M45" s="98"/>
      <c r="N45" s="98">
        <v>13.345512164425477</v>
      </c>
      <c r="O45" s="98">
        <v>11.177292480038487</v>
      </c>
      <c r="P45" s="96">
        <v>0.6107304073053036</v>
      </c>
    </row>
    <row r="46" spans="1:16" ht="12">
      <c r="A46" s="87" t="s">
        <v>215</v>
      </c>
      <c r="B46" s="87"/>
      <c r="C46" s="98">
        <v>83.69333333333333</v>
      </c>
      <c r="D46" s="98">
        <v>0</v>
      </c>
      <c r="E46" s="98">
        <v>149.46666666666667</v>
      </c>
      <c r="F46" s="98">
        <v>125.097786</v>
      </c>
      <c r="G46" s="98">
        <v>86.91264078741422</v>
      </c>
      <c r="H46" s="98">
        <v>11.307615189450033</v>
      </c>
      <c r="I46" s="98">
        <v>12.348977686056662</v>
      </c>
      <c r="J46" s="98">
        <v>34.21900134325422</v>
      </c>
      <c r="K46" s="98">
        <v>144.78823500617514</v>
      </c>
      <c r="L46" s="98">
        <v>121.1740452938808</v>
      </c>
      <c r="M46" s="98"/>
      <c r="N46" s="98">
        <v>4.678431660491545</v>
      </c>
      <c r="O46" s="98">
        <v>3.9237407061192062</v>
      </c>
      <c r="P46" s="99">
        <v>0.6002431320697839</v>
      </c>
    </row>
    <row r="47" spans="1:16" ht="12">
      <c r="A47" s="87" t="s">
        <v>216</v>
      </c>
      <c r="B47" s="87"/>
      <c r="C47" s="98">
        <v>82.52</v>
      </c>
      <c r="D47" s="98">
        <v>0</v>
      </c>
      <c r="E47" s="98">
        <v>150.82</v>
      </c>
      <c r="F47" s="98">
        <v>124.450204</v>
      </c>
      <c r="G47" s="98">
        <v>89.88936227808979</v>
      </c>
      <c r="H47" s="98">
        <v>11.780312544858461</v>
      </c>
      <c r="I47" s="98">
        <v>12.591527666853588</v>
      </c>
      <c r="J47" s="98">
        <v>35.305830063064654</v>
      </c>
      <c r="K47" s="98">
        <v>149.5670325528665</v>
      </c>
      <c r="L47" s="98">
        <v>123.4226692217433</v>
      </c>
      <c r="M47" s="98"/>
      <c r="N47" s="98">
        <v>1.2529674471335188</v>
      </c>
      <c r="O47" s="98">
        <v>1.0275347782567128</v>
      </c>
      <c r="P47" s="99">
        <v>0.6009727286085447</v>
      </c>
    </row>
    <row r="48" spans="1:16" ht="12">
      <c r="A48" s="87" t="s">
        <v>217</v>
      </c>
      <c r="B48" s="87"/>
      <c r="C48" s="98">
        <v>82.65</v>
      </c>
      <c r="D48" s="98">
        <v>0</v>
      </c>
      <c r="E48" s="98">
        <v>152.13</v>
      </c>
      <c r="F48" s="98">
        <v>125.733694</v>
      </c>
      <c r="G48" s="98">
        <v>96.75763295177273</v>
      </c>
      <c r="H48" s="98">
        <v>11.856675929763119</v>
      </c>
      <c r="I48" s="98">
        <v>12.534813300079051</v>
      </c>
      <c r="J48" s="98">
        <v>35.3477424706954</v>
      </c>
      <c r="K48" s="98">
        <v>156.49686465231028</v>
      </c>
      <c r="L48" s="98">
        <v>129.35147785546428</v>
      </c>
      <c r="M48" s="98"/>
      <c r="N48" s="98">
        <v>-4.366864652310293</v>
      </c>
      <c r="O48" s="98">
        <v>-3.6177838554642805</v>
      </c>
      <c r="P48" s="99">
        <v>0.6179787493907737</v>
      </c>
    </row>
    <row r="49" spans="1:16" ht="12">
      <c r="A49" s="87" t="s">
        <v>218</v>
      </c>
      <c r="B49" s="87"/>
      <c r="C49" s="98">
        <v>83.75999999999999</v>
      </c>
      <c r="D49" s="98">
        <v>0</v>
      </c>
      <c r="E49" s="98">
        <v>147.82666666666668</v>
      </c>
      <c r="F49" s="98">
        <v>123.82480599999998</v>
      </c>
      <c r="G49" s="98">
        <v>96.36963976271414</v>
      </c>
      <c r="H49" s="98">
        <v>12.139275298542119</v>
      </c>
      <c r="I49" s="98">
        <v>12.484506967838598</v>
      </c>
      <c r="J49" s="98">
        <v>34.84931776494716</v>
      </c>
      <c r="K49" s="98">
        <v>155.84273979404202</v>
      </c>
      <c r="L49" s="98">
        <v>130.53319756403894</v>
      </c>
      <c r="M49" s="98"/>
      <c r="N49" s="98">
        <v>-8.016073127375344</v>
      </c>
      <c r="O49" s="98">
        <v>-6.708391564038979</v>
      </c>
      <c r="P49" s="99">
        <v>0.6183773954101001</v>
      </c>
    </row>
    <row r="50" spans="1:16" ht="12">
      <c r="A50" s="87" t="s">
        <v>219</v>
      </c>
      <c r="B50" s="87"/>
      <c r="C50" s="98">
        <v>85.11</v>
      </c>
      <c r="D50" s="98">
        <v>0</v>
      </c>
      <c r="E50" s="98">
        <v>143.42</v>
      </c>
      <c r="F50" s="98">
        <v>122.06593299999999</v>
      </c>
      <c r="G50" s="98">
        <v>96.14166635324061</v>
      </c>
      <c r="H50" s="98">
        <v>12.323454531237873</v>
      </c>
      <c r="I50" s="98">
        <v>12.380596374591049</v>
      </c>
      <c r="J50" s="98">
        <v>35.48424122070355</v>
      </c>
      <c r="K50" s="98">
        <v>156.32995847977307</v>
      </c>
      <c r="L50" s="98">
        <v>133.05359139788237</v>
      </c>
      <c r="M50" s="98"/>
      <c r="N50" s="98">
        <v>-12.909958479773062</v>
      </c>
      <c r="O50" s="98">
        <v>-10.987658397882363</v>
      </c>
      <c r="P50" s="99">
        <v>0.6149844331261374</v>
      </c>
    </row>
    <row r="51" spans="1:16" ht="12">
      <c r="A51" s="87" t="s">
        <v>220</v>
      </c>
      <c r="B51" s="87"/>
      <c r="C51" s="98">
        <v>83.58333333333333</v>
      </c>
      <c r="D51" s="98">
        <v>0</v>
      </c>
      <c r="E51" s="98">
        <v>147.96</v>
      </c>
      <c r="F51" s="98">
        <v>123.65532933333334</v>
      </c>
      <c r="G51" s="98">
        <v>87.97549001446879</v>
      </c>
      <c r="H51" s="98">
        <v>11.514514213798876</v>
      </c>
      <c r="I51" s="98">
        <v>12.476998306877272</v>
      </c>
      <c r="J51" s="98">
        <v>35.84275414158565</v>
      </c>
      <c r="K51" s="98">
        <v>147.8097566767306</v>
      </c>
      <c r="L51" s="98">
        <v>123.54816549742073</v>
      </c>
      <c r="M51" s="98"/>
      <c r="N51" s="98">
        <v>0.15024332326941212</v>
      </c>
      <c r="O51" s="98">
        <v>0.10716383591259578</v>
      </c>
      <c r="P51" s="99">
        <v>0.595174773118872</v>
      </c>
    </row>
    <row r="52" spans="1:16" ht="12">
      <c r="A52" s="87" t="s">
        <v>221</v>
      </c>
      <c r="B52" s="87"/>
      <c r="C52" s="98">
        <v>83.56666666666666</v>
      </c>
      <c r="D52" s="98">
        <v>0</v>
      </c>
      <c r="E52" s="98">
        <v>155.45333333333332</v>
      </c>
      <c r="F52" s="98">
        <v>129.9084193333333</v>
      </c>
      <c r="G52" s="98">
        <v>87.46068622590144</v>
      </c>
      <c r="H52" s="98">
        <v>11.244947379045998</v>
      </c>
      <c r="I52" s="98">
        <v>12.467267126352306</v>
      </c>
      <c r="J52" s="98">
        <v>35.709364294971664</v>
      </c>
      <c r="K52" s="98">
        <v>146.8822650262714</v>
      </c>
      <c r="L52" s="98">
        <v>122.73744895496992</v>
      </c>
      <c r="M52" s="98"/>
      <c r="N52" s="98">
        <v>8.571068307061921</v>
      </c>
      <c r="O52" s="98">
        <v>7.170970378363397</v>
      </c>
      <c r="P52" s="99">
        <v>0.5954157202801692</v>
      </c>
    </row>
    <row r="53" spans="1:16" ht="12">
      <c r="A53" s="87" t="s">
        <v>222</v>
      </c>
      <c r="B53" s="87"/>
      <c r="C53" s="98">
        <v>84.32333333333334</v>
      </c>
      <c r="D53" s="98">
        <v>0</v>
      </c>
      <c r="E53" s="98">
        <v>160.83</v>
      </c>
      <c r="F53" s="98">
        <v>135.607634</v>
      </c>
      <c r="G53" s="98">
        <v>87.99927511601588</v>
      </c>
      <c r="H53" s="98">
        <v>10.651035285808172</v>
      </c>
      <c r="I53" s="98">
        <v>12.374564550294679</v>
      </c>
      <c r="J53" s="98">
        <v>35.20973671933957</v>
      </c>
      <c r="K53" s="98">
        <v>146.23461167145828</v>
      </c>
      <c r="L53" s="98">
        <v>123.30156709440257</v>
      </c>
      <c r="M53" s="98"/>
      <c r="N53" s="98">
        <v>14.595388328541702</v>
      </c>
      <c r="O53" s="98">
        <v>12.306066905597435</v>
      </c>
      <c r="P53" s="99">
        <v>0.601725229834427</v>
      </c>
    </row>
    <row r="54" spans="1:16" ht="12">
      <c r="A54" s="87" t="s">
        <v>223</v>
      </c>
      <c r="B54" s="87"/>
      <c r="C54" s="98">
        <v>85.33333333333333</v>
      </c>
      <c r="D54" s="98">
        <v>0</v>
      </c>
      <c r="E54" s="98">
        <v>164.84</v>
      </c>
      <c r="F54" s="98">
        <v>140.66235299999997</v>
      </c>
      <c r="G54" s="98">
        <v>90.45510553985457</v>
      </c>
      <c r="H54" s="98">
        <v>10.241181361180479</v>
      </c>
      <c r="I54" s="98">
        <v>12.728347765247106</v>
      </c>
      <c r="J54" s="98">
        <v>35.32829828235824</v>
      </c>
      <c r="K54" s="98">
        <v>148.7529329486404</v>
      </c>
      <c r="L54" s="98">
        <v>126.93519092698516</v>
      </c>
      <c r="M54" s="98"/>
      <c r="N54" s="98">
        <v>16.087067051359593</v>
      </c>
      <c r="O54" s="98">
        <v>13.72716207301484</v>
      </c>
      <c r="P54" s="99">
        <v>0.6080844733459396</v>
      </c>
    </row>
    <row r="55" spans="1:16" ht="12">
      <c r="A55" s="87" t="s">
        <v>224</v>
      </c>
      <c r="B55" s="87"/>
      <c r="C55" s="98">
        <v>84.6</v>
      </c>
      <c r="D55" s="98">
        <v>0</v>
      </c>
      <c r="E55" s="98">
        <v>167.09333333333333</v>
      </c>
      <c r="F55" s="98">
        <v>141.361332</v>
      </c>
      <c r="G55" s="98">
        <v>97.58695771534273</v>
      </c>
      <c r="H55" s="98">
        <v>10.954927559126906</v>
      </c>
      <c r="I55" s="98">
        <v>12.726813841279176</v>
      </c>
      <c r="J55" s="98">
        <v>34.152658104265065</v>
      </c>
      <c r="K55" s="98">
        <v>155.42135722001387</v>
      </c>
      <c r="L55" s="98">
        <v>131.4851876189463</v>
      </c>
      <c r="M55" s="98"/>
      <c r="N55" s="98">
        <v>11.67197611331946</v>
      </c>
      <c r="O55" s="98">
        <v>9.876144381053678</v>
      </c>
      <c r="P55" s="99">
        <v>0.6278463750519588</v>
      </c>
    </row>
    <row r="56" spans="1:16" ht="12">
      <c r="A56" s="87" t="s">
        <v>225</v>
      </c>
      <c r="B56" s="87"/>
      <c r="C56" s="98">
        <v>85.79333333333334</v>
      </c>
      <c r="D56" s="98">
        <v>0</v>
      </c>
      <c r="E56" s="98">
        <v>166.16333333333333</v>
      </c>
      <c r="F56" s="98">
        <v>142.54828966666665</v>
      </c>
      <c r="G56" s="98">
        <v>99.58742692300679</v>
      </c>
      <c r="H56" s="98">
        <v>11.859413848143816</v>
      </c>
      <c r="I56" s="98">
        <v>12.599312816182982</v>
      </c>
      <c r="J56" s="98">
        <v>34.236719044569064</v>
      </c>
      <c r="K56" s="98">
        <v>158.28287263190268</v>
      </c>
      <c r="L56" s="98">
        <v>135.8021093348709</v>
      </c>
      <c r="M56" s="98"/>
      <c r="N56" s="98">
        <v>7.880460701430678</v>
      </c>
      <c r="O56" s="98">
        <v>6.746180331795796</v>
      </c>
      <c r="P56" s="99">
        <v>0.6291336165464472</v>
      </c>
    </row>
    <row r="57" spans="1:16" ht="12">
      <c r="A57" s="87" t="s">
        <v>226</v>
      </c>
      <c r="B57" s="87"/>
      <c r="C57" s="98">
        <v>87.45</v>
      </c>
      <c r="D57" s="98">
        <v>0</v>
      </c>
      <c r="E57" s="98">
        <v>157.89666666666665</v>
      </c>
      <c r="F57" s="98">
        <v>138.074917</v>
      </c>
      <c r="G57" s="98">
        <v>105.94215837601207</v>
      </c>
      <c r="H57" s="98">
        <v>11.97309306748987</v>
      </c>
      <c r="I57" s="98">
        <v>12.419176446072065</v>
      </c>
      <c r="J57" s="98">
        <v>33.85002164948392</v>
      </c>
      <c r="K57" s="98">
        <v>164.18444953905794</v>
      </c>
      <c r="L57" s="98">
        <v>143.58394237706423</v>
      </c>
      <c r="M57" s="98"/>
      <c r="N57" s="98">
        <v>-6.287782872391261</v>
      </c>
      <c r="O57" s="98">
        <v>-5.509025377064234</v>
      </c>
      <c r="P57" s="99">
        <v>0.6451854684673485</v>
      </c>
    </row>
    <row r="58" spans="1:16" ht="12">
      <c r="A58" s="87" t="s">
        <v>227</v>
      </c>
      <c r="B58" s="87"/>
      <c r="C58" s="98">
        <v>89.97333333333331</v>
      </c>
      <c r="D58" s="98">
        <v>0</v>
      </c>
      <c r="E58" s="98">
        <v>144.85333333333332</v>
      </c>
      <c r="F58" s="98">
        <v>130.333356</v>
      </c>
      <c r="G58" s="98">
        <v>116.78430317618547</v>
      </c>
      <c r="H58" s="98">
        <v>11.015765557711385</v>
      </c>
      <c r="I58" s="98">
        <v>11.923528246715344</v>
      </c>
      <c r="J58" s="98">
        <v>34.10063771242803</v>
      </c>
      <c r="K58" s="98">
        <v>173.82423469304024</v>
      </c>
      <c r="L58" s="98">
        <v>156.3794611934193</v>
      </c>
      <c r="M58" s="98"/>
      <c r="N58" s="98">
        <v>-28.970901359706925</v>
      </c>
      <c r="O58" s="98">
        <v>-26.04610519341932</v>
      </c>
      <c r="P58" s="99">
        <v>0.6717712934633843</v>
      </c>
    </row>
    <row r="59" spans="1:16" ht="12">
      <c r="A59" s="87" t="s">
        <v>228</v>
      </c>
      <c r="B59" s="87"/>
      <c r="C59" s="98">
        <v>86.28666666666668</v>
      </c>
      <c r="D59" s="98">
        <v>0</v>
      </c>
      <c r="E59" s="98">
        <v>154.17333333333332</v>
      </c>
      <c r="F59" s="98">
        <v>133.00317333333334</v>
      </c>
      <c r="G59" s="98">
        <v>122.74008610128465</v>
      </c>
      <c r="H59" s="98">
        <v>11.103678485234648</v>
      </c>
      <c r="I59" s="98">
        <v>12.453843891992621</v>
      </c>
      <c r="J59" s="98">
        <v>36.01448558767096</v>
      </c>
      <c r="K59" s="98">
        <v>182.3120940661829</v>
      </c>
      <c r="L59" s="98">
        <v>157.30367680410265</v>
      </c>
      <c r="M59" s="98"/>
      <c r="N59" s="98">
        <v>-28.138760732849562</v>
      </c>
      <c r="O59" s="98">
        <v>-24.300503470769325</v>
      </c>
      <c r="P59" s="99">
        <v>0.6732418440196999</v>
      </c>
    </row>
    <row r="60" spans="1:16" ht="12">
      <c r="A60" s="87" t="s">
        <v>229</v>
      </c>
      <c r="B60" s="87"/>
      <c r="C60" s="98">
        <v>87.16000000000001</v>
      </c>
      <c r="D60" s="98">
        <v>0</v>
      </c>
      <c r="E60" s="98">
        <v>163.36666666666667</v>
      </c>
      <c r="F60" s="98">
        <v>142.36430099999998</v>
      </c>
      <c r="G60" s="98">
        <v>119.75564239599419</v>
      </c>
      <c r="H60" s="98">
        <v>11.286666669673613</v>
      </c>
      <c r="I60" s="98">
        <v>12.25457509623483</v>
      </c>
      <c r="J60" s="98">
        <v>35.19352577721212</v>
      </c>
      <c r="K60" s="98">
        <v>178.49040993911476</v>
      </c>
      <c r="L60" s="98">
        <v>155.5633189960512</v>
      </c>
      <c r="M60" s="98"/>
      <c r="N60" s="98">
        <v>-15.123743272448081</v>
      </c>
      <c r="O60" s="98">
        <v>-13.199017996051223</v>
      </c>
      <c r="P60" s="99">
        <v>0.6708696027120143</v>
      </c>
    </row>
    <row r="61" spans="1:16" ht="12">
      <c r="A61" s="87" t="s">
        <v>230</v>
      </c>
      <c r="B61" s="87"/>
      <c r="C61" s="98">
        <v>91.73333333333333</v>
      </c>
      <c r="D61" s="98">
        <v>0</v>
      </c>
      <c r="E61" s="98">
        <v>150.73333333333335</v>
      </c>
      <c r="F61" s="98">
        <v>138.26523</v>
      </c>
      <c r="G61" s="98">
        <v>134.17450339210157</v>
      </c>
      <c r="H61" s="98">
        <v>11.921795029502652</v>
      </c>
      <c r="I61" s="98">
        <v>11.76633597426961</v>
      </c>
      <c r="J61" s="98">
        <v>34.87393595597016</v>
      </c>
      <c r="K61" s="98">
        <v>192.736570351844</v>
      </c>
      <c r="L61" s="98">
        <v>176.82080096121123</v>
      </c>
      <c r="M61" s="98"/>
      <c r="N61" s="98">
        <v>-42.00323701851065</v>
      </c>
      <c r="O61" s="98">
        <v>-38.555570961211195</v>
      </c>
      <c r="P61" s="99">
        <v>0.6958361741060797</v>
      </c>
    </row>
    <row r="62" spans="1:16" ht="12">
      <c r="A62" s="87" t="s">
        <v>231</v>
      </c>
      <c r="B62" s="87"/>
      <c r="C62" s="98">
        <v>94.28666666666668</v>
      </c>
      <c r="D62" s="98">
        <v>0</v>
      </c>
      <c r="E62" s="98">
        <v>145.98666666666668</v>
      </c>
      <c r="F62" s="98">
        <v>137.61921033333334</v>
      </c>
      <c r="G62" s="98">
        <v>147.85023915441542</v>
      </c>
      <c r="H62" s="98">
        <v>11.277911477879426</v>
      </c>
      <c r="I62" s="98">
        <v>13.414117593599764</v>
      </c>
      <c r="J62" s="98">
        <v>34.90904769417498</v>
      </c>
      <c r="K62" s="98">
        <v>207.45131592006956</v>
      </c>
      <c r="L62" s="98">
        <v>195.55158225781634</v>
      </c>
      <c r="M62" s="98"/>
      <c r="N62" s="98">
        <v>-61.46464925340292</v>
      </c>
      <c r="O62" s="98">
        <v>-57.93237192448299</v>
      </c>
      <c r="P62" s="99">
        <v>0.7125865496332605</v>
      </c>
    </row>
    <row r="63" spans="1:16" ht="12">
      <c r="A63" s="87" t="s">
        <v>232</v>
      </c>
      <c r="B63" s="87"/>
      <c r="C63" s="98">
        <v>89.23333333333333</v>
      </c>
      <c r="D63" s="98">
        <v>0</v>
      </c>
      <c r="E63" s="98">
        <v>182.62666666666667</v>
      </c>
      <c r="F63" s="98">
        <v>162.864873</v>
      </c>
      <c r="G63" s="98">
        <v>175.38437370331863</v>
      </c>
      <c r="H63" s="98">
        <v>12.396375737183682</v>
      </c>
      <c r="I63" s="98">
        <v>14.07618178943986</v>
      </c>
      <c r="J63" s="98">
        <v>38.5174928248288</v>
      </c>
      <c r="K63" s="98">
        <v>240.37442405477097</v>
      </c>
      <c r="L63" s="98">
        <v>214.4672564600908</v>
      </c>
      <c r="M63" s="98"/>
      <c r="N63" s="98">
        <v>-57.747757388104304</v>
      </c>
      <c r="O63" s="98">
        <v>-51.6023834600908</v>
      </c>
      <c r="P63" s="99">
        <v>0.7296685348840697</v>
      </c>
    </row>
    <row r="64" spans="1:16" ht="12">
      <c r="A64" s="87" t="s">
        <v>233</v>
      </c>
      <c r="B64" s="87"/>
      <c r="C64" s="98">
        <v>87.32</v>
      </c>
      <c r="D64" s="98">
        <v>0</v>
      </c>
      <c r="E64" s="98">
        <v>200.87</v>
      </c>
      <c r="F64" s="98">
        <v>175.41269200000002</v>
      </c>
      <c r="G64" s="98">
        <v>158.64177411524958</v>
      </c>
      <c r="H64" s="98">
        <v>13.03899832383369</v>
      </c>
      <c r="I64" s="98">
        <v>14.453932253380843</v>
      </c>
      <c r="J64" s="98">
        <v>41.03183312120023</v>
      </c>
      <c r="K64" s="98">
        <v>227.16653781366435</v>
      </c>
      <c r="L64" s="98">
        <v>198.34871112407112</v>
      </c>
      <c r="M64" s="98"/>
      <c r="N64" s="98">
        <v>-26.296537813664326</v>
      </c>
      <c r="O64" s="98">
        <v>-22.936019124071112</v>
      </c>
      <c r="P64" s="99">
        <v>0.6983129116270318</v>
      </c>
    </row>
    <row r="65" spans="1:16" ht="12">
      <c r="A65" t="s">
        <v>234</v>
      </c>
      <c r="C65" s="98">
        <v>88.33</v>
      </c>
      <c r="D65" s="98">
        <v>0</v>
      </c>
      <c r="E65" s="98">
        <v>204.72</v>
      </c>
      <c r="F65" s="98">
        <v>180.82558200000003</v>
      </c>
      <c r="G65" s="98">
        <v>153.6700453478322</v>
      </c>
      <c r="H65" s="98">
        <v>13.539432154161302</v>
      </c>
      <c r="I65" s="98">
        <v>14.226674299475503</v>
      </c>
      <c r="J65" s="98">
        <v>42.79603379096536</v>
      </c>
      <c r="K65" s="98">
        <v>224.23218559243435</v>
      </c>
      <c r="L65" s="98">
        <v>198.12833371907672</v>
      </c>
      <c r="M65" s="98"/>
      <c r="N65" s="98">
        <v>-19.51218559243435</v>
      </c>
      <c r="O65" s="98">
        <v>-17.302751719076728</v>
      </c>
      <c r="P65" s="96">
        <v>0.6851050364389696</v>
      </c>
    </row>
    <row r="66" spans="1:16" ht="12">
      <c r="A66" s="87" t="s">
        <v>235</v>
      </c>
      <c r="C66" s="85">
        <v>88.63333333333333</v>
      </c>
      <c r="D66" s="85"/>
      <c r="E66" s="85">
        <v>211.2166666666667</v>
      </c>
      <c r="F66" s="85">
        <v>187.21315900000002</v>
      </c>
      <c r="G66" s="85">
        <v>139.27494831250894</v>
      </c>
      <c r="H66" s="85">
        <v>12.120715977891747</v>
      </c>
      <c r="I66" s="85">
        <v>15.455342254545014</v>
      </c>
      <c r="J66" s="85">
        <v>45.907143665658616</v>
      </c>
      <c r="K66" s="85">
        <v>212.7581502106043</v>
      </c>
      <c r="L66" s="85">
        <v>188.56983172422508</v>
      </c>
      <c r="M66" s="100"/>
      <c r="N66" s="85">
        <v>-1.5414835439376493</v>
      </c>
      <c r="O66" s="85">
        <v>-1.356672724225062</v>
      </c>
      <c r="P66" s="101">
        <v>0.6545825072892792</v>
      </c>
    </row>
    <row r="67" spans="1:16" ht="12">
      <c r="A67" s="102" t="s">
        <v>236</v>
      </c>
      <c r="C67" s="85">
        <v>88.25999999999999</v>
      </c>
      <c r="D67" s="85"/>
      <c r="E67" s="85">
        <v>220.5</v>
      </c>
      <c r="F67" s="85">
        <v>194.60644733333334</v>
      </c>
      <c r="G67" s="85">
        <v>122.7522338113139</v>
      </c>
      <c r="H67" s="85">
        <v>11.489870110380622</v>
      </c>
      <c r="I67" s="85">
        <v>15.511975393000634</v>
      </c>
      <c r="J67" s="85">
        <v>45.7526270834473</v>
      </c>
      <c r="K67" s="85">
        <v>195.50670639814248</v>
      </c>
      <c r="L67" s="85">
        <v>172.58463643789068</v>
      </c>
      <c r="N67" s="85">
        <v>24.993293601857516</v>
      </c>
      <c r="O67" s="85">
        <v>22.02181089544267</v>
      </c>
      <c r="P67" s="101">
        <v>0.6275768235222934</v>
      </c>
    </row>
    <row r="68" spans="1:16" ht="12">
      <c r="A68" s="87" t="s">
        <v>237</v>
      </c>
      <c r="C68" s="98">
        <f>'[3]Net Margins'!V185</f>
        <v>88.34999999999998</v>
      </c>
      <c r="E68" s="98">
        <f>'[3]Net Margins'!X185</f>
        <v>223.54</v>
      </c>
      <c r="F68" s="98">
        <f>'[3]Net Margins'!Y185</f>
        <v>197.497706</v>
      </c>
      <c r="G68" s="98">
        <f>'[3]Net Margins'!Z185</f>
        <v>121.26039964706165</v>
      </c>
      <c r="H68" s="98">
        <f>'[3]Net Margins'!AA185</f>
        <v>10.945222819800891</v>
      </c>
      <c r="I68" s="98">
        <f>'[3]Net Margins'!AB185</f>
        <v>15.495892149101886</v>
      </c>
      <c r="J68" s="98">
        <f>'[3]Net Margins'!AC185</f>
        <v>47.11522798631167</v>
      </c>
      <c r="K68" s="98">
        <f>'[3]Net Margins'!AD185</f>
        <v>194.8167426022761</v>
      </c>
      <c r="L68" s="98">
        <f>'[3]Net Margins'!AE185</f>
        <v>172.11411017257083</v>
      </c>
      <c r="N68" s="98">
        <f>'[3]Net Margins'!AG185</f>
        <v>28.284531504884598</v>
      </c>
      <c r="O68" s="98">
        <f>'[3]Net Margins'!AH185</f>
        <v>24.8268073620527</v>
      </c>
      <c r="P68" s="99">
        <f>'[3]Net Margins'!AI185</f>
        <v>0.6223978445523484</v>
      </c>
    </row>
    <row r="69" spans="1:16" ht="12">
      <c r="A69" t="s">
        <v>238</v>
      </c>
      <c r="C69" s="85">
        <v>88.13666666666666</v>
      </c>
      <c r="D69" s="85"/>
      <c r="E69" s="85">
        <v>216.46333333333334</v>
      </c>
      <c r="F69" s="85">
        <v>190.80013799999998</v>
      </c>
      <c r="G69" s="85">
        <v>121.13288914072155</v>
      </c>
      <c r="H69" s="85">
        <v>11.326417947956825</v>
      </c>
      <c r="I69" s="85">
        <v>15.53465373804372</v>
      </c>
      <c r="J69" s="85">
        <v>46.96947524156604</v>
      </c>
      <c r="K69" s="85">
        <v>194.96343606828813</v>
      </c>
      <c r="L69" s="85">
        <v>171.82440524742822</v>
      </c>
      <c r="M69" s="85"/>
      <c r="N69" s="85">
        <v>21.499897265045195</v>
      </c>
      <c r="O69" s="85">
        <v>18.97573275257179</v>
      </c>
      <c r="P69" s="103">
        <v>0.6213059119742904</v>
      </c>
    </row>
    <row r="70" spans="1:16" ht="12">
      <c r="A70" s="87" t="s">
        <v>239</v>
      </c>
      <c r="C70" s="98">
        <f>'[3]Net Margins'!V188</f>
        <v>88.91000000000001</v>
      </c>
      <c r="D70" s="98"/>
      <c r="E70" s="98">
        <f>'[3]Net Margins'!X188</f>
        <v>211.72333333333336</v>
      </c>
      <c r="F70" s="98">
        <f>'[3]Net Margins'!Y188</f>
        <v>188.24369566666667</v>
      </c>
      <c r="G70" s="98">
        <f>'[3]Net Margins'!Z188</f>
        <v>119.74536009010372</v>
      </c>
      <c r="H70" s="98">
        <f>'[3]Net Margins'!AA188</f>
        <v>11.667889128266902</v>
      </c>
      <c r="I70" s="98">
        <f>'[3]Net Margins'!AB188</f>
        <v>15.448612389756304</v>
      </c>
      <c r="J70" s="98">
        <f>'[3]Net Margins'!AC188</f>
        <v>46.80609339355814</v>
      </c>
      <c r="K70" s="98">
        <f>'[3]Net Margins'!AD188</f>
        <v>193.66795500168504</v>
      </c>
      <c r="L70" s="98">
        <f>'[3]Net Margins'!AE188</f>
        <v>172.19007876804008</v>
      </c>
      <c r="M70" s="98"/>
      <c r="N70" s="98">
        <f>'[3]Net Margins'!AG188</f>
        <v>18.055378331648274</v>
      </c>
      <c r="O70" s="98">
        <f>'[3]Net Margins'!AH188</f>
        <v>16.053616898626576</v>
      </c>
      <c r="P70" s="99">
        <f>'[3]Net Margins'!AI188</f>
        <v>0.6181669972763898</v>
      </c>
    </row>
  </sheetData>
  <sheetProtection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5">
      <selection activeCell="C6" sqref="C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0" sqref="P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Carol.Davis@ahdb.org.uk</dc:creator>
  <cp:keywords/>
  <dc:description/>
  <cp:lastModifiedBy>Jess Corsair</cp:lastModifiedBy>
  <cp:lastPrinted>2010-10-21T08:29:31Z</cp:lastPrinted>
  <dcterms:created xsi:type="dcterms:W3CDTF">2006-11-08T11:26:07Z</dcterms:created>
  <dcterms:modified xsi:type="dcterms:W3CDTF">2024-06-10T12:53:47Z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0x0101001778F9C6E6CA40469EF8D815CB2EEB82</vt:lpwstr>
  </property>
</Properties>
</file>